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TJAS\Desktop\000\region utility conference handbooks NC\"/>
    </mc:Choice>
  </mc:AlternateContent>
  <bookViews>
    <workbookView xWindow="0" yWindow="0" windowWidth="19200" windowHeight="7230"/>
  </bookViews>
  <sheets>
    <sheet name="report" sheetId="1" r:id="rId1"/>
  </sheets>
  <definedNames>
    <definedName name="_xlnm.Print_Titles" localSheetId="0">report!$1:$1</definedName>
  </definedNames>
  <calcPr calcId="152511"/>
</workbook>
</file>

<file path=xl/calcChain.xml><?xml version="1.0" encoding="utf-8"?>
<calcChain xmlns="http://schemas.openxmlformats.org/spreadsheetml/2006/main">
  <c r="H1" i="1" l="1"/>
  <c r="I1" i="1"/>
  <c r="J1" i="1"/>
  <c r="E1" i="1"/>
  <c r="G1" i="1"/>
  <c r="A10" i="1"/>
  <c r="B10" i="1"/>
  <c r="H10" i="1"/>
  <c r="I10" i="1"/>
  <c r="J10" i="1"/>
  <c r="E10" i="1"/>
  <c r="G10" i="1"/>
  <c r="A11" i="1"/>
  <c r="B11" i="1"/>
  <c r="H11" i="1"/>
  <c r="I11" i="1"/>
  <c r="J11" i="1"/>
  <c r="E11" i="1"/>
  <c r="G11" i="1"/>
  <c r="A51" i="1"/>
  <c r="B51" i="1"/>
  <c r="H51" i="1"/>
  <c r="I51" i="1"/>
  <c r="J51" i="1"/>
  <c r="E51" i="1"/>
  <c r="G51" i="1"/>
  <c r="A40" i="1"/>
  <c r="B40" i="1"/>
  <c r="H40" i="1"/>
  <c r="I40" i="1"/>
  <c r="J40" i="1"/>
  <c r="E40" i="1"/>
  <c r="G40" i="1"/>
  <c r="A12" i="1"/>
  <c r="B12" i="1"/>
  <c r="H12" i="1"/>
  <c r="I12" i="1"/>
  <c r="J12" i="1"/>
  <c r="E12" i="1"/>
  <c r="G12" i="1"/>
  <c r="A3" i="1"/>
  <c r="B3" i="1"/>
  <c r="H3" i="1"/>
  <c r="I3" i="1"/>
  <c r="J3" i="1"/>
  <c r="E3" i="1"/>
  <c r="G3" i="1"/>
  <c r="A14" i="1"/>
  <c r="B14" i="1"/>
  <c r="H14" i="1"/>
  <c r="I14" i="1"/>
  <c r="J14" i="1"/>
  <c r="E14" i="1"/>
  <c r="G14" i="1"/>
  <c r="A43" i="1"/>
  <c r="B43" i="1"/>
  <c r="H43" i="1"/>
  <c r="I43" i="1"/>
  <c r="J43" i="1"/>
  <c r="E43" i="1"/>
  <c r="G43" i="1"/>
  <c r="A30" i="1"/>
  <c r="B30" i="1"/>
  <c r="H30" i="1"/>
  <c r="I30" i="1"/>
  <c r="J30" i="1"/>
  <c r="E30" i="1"/>
  <c r="G30" i="1"/>
  <c r="A45" i="1"/>
  <c r="B45" i="1"/>
  <c r="H45" i="1"/>
  <c r="I45" i="1"/>
  <c r="J45" i="1"/>
  <c r="E45" i="1"/>
  <c r="G45" i="1"/>
  <c r="A16" i="1"/>
  <c r="B16" i="1"/>
  <c r="H16" i="1"/>
  <c r="I16" i="1"/>
  <c r="J16" i="1"/>
  <c r="E16" i="1"/>
  <c r="G16" i="1"/>
  <c r="A33" i="1"/>
  <c r="B33" i="1"/>
  <c r="H33" i="1"/>
  <c r="I33" i="1"/>
  <c r="J33" i="1"/>
  <c r="E33" i="1"/>
  <c r="G33" i="1"/>
  <c r="A6" i="1"/>
  <c r="B6" i="1"/>
  <c r="H6" i="1"/>
  <c r="I6" i="1"/>
  <c r="J6" i="1"/>
  <c r="E6" i="1"/>
  <c r="G6" i="1"/>
  <c r="A5" i="1"/>
  <c r="B5" i="1"/>
  <c r="H5" i="1"/>
  <c r="I5" i="1"/>
  <c r="J5" i="1"/>
  <c r="E5" i="1"/>
  <c r="G5" i="1"/>
  <c r="A34" i="1"/>
  <c r="B34" i="1"/>
  <c r="H34" i="1"/>
  <c r="I34" i="1"/>
  <c r="J34" i="1"/>
  <c r="E34" i="1"/>
  <c r="G34" i="1"/>
  <c r="A35" i="1"/>
  <c r="B35" i="1"/>
  <c r="H35" i="1"/>
  <c r="I35" i="1"/>
  <c r="J35" i="1"/>
  <c r="E35" i="1"/>
  <c r="G35" i="1"/>
  <c r="A47" i="1"/>
  <c r="B47" i="1"/>
  <c r="H47" i="1"/>
  <c r="I47" i="1"/>
  <c r="J47" i="1"/>
  <c r="E47" i="1"/>
  <c r="G47" i="1"/>
  <c r="A48" i="1"/>
  <c r="B48" i="1"/>
  <c r="H48" i="1"/>
  <c r="I48" i="1"/>
  <c r="J48" i="1"/>
  <c r="E48" i="1"/>
  <c r="G48" i="1"/>
  <c r="A36" i="1"/>
  <c r="B36" i="1"/>
  <c r="H36" i="1"/>
  <c r="I36" i="1"/>
  <c r="J36" i="1"/>
  <c r="E36" i="1"/>
  <c r="G36" i="1"/>
  <c r="A52" i="1"/>
  <c r="B52" i="1"/>
  <c r="H52" i="1"/>
  <c r="I52" i="1"/>
  <c r="J52" i="1"/>
  <c r="E52" i="1"/>
  <c r="G52" i="1"/>
  <c r="A37" i="1"/>
  <c r="B37" i="1"/>
  <c r="H37" i="1"/>
  <c r="I37" i="1"/>
  <c r="J37" i="1"/>
  <c r="E37" i="1"/>
  <c r="G37" i="1"/>
  <c r="A46" i="1"/>
  <c r="B46" i="1"/>
  <c r="H46" i="1"/>
  <c r="I46" i="1"/>
  <c r="J46" i="1"/>
  <c r="E46" i="1"/>
  <c r="G46" i="1"/>
  <c r="A17" i="1"/>
  <c r="B17" i="1"/>
  <c r="H17" i="1"/>
  <c r="I17" i="1"/>
  <c r="J17" i="1"/>
  <c r="E17" i="1"/>
  <c r="G17" i="1"/>
  <c r="A18" i="1"/>
  <c r="B18" i="1"/>
  <c r="H18" i="1"/>
  <c r="I18" i="1"/>
  <c r="J18" i="1"/>
  <c r="E18" i="1"/>
  <c r="G18" i="1"/>
  <c r="A7" i="1"/>
  <c r="B7" i="1"/>
  <c r="H7" i="1"/>
  <c r="I7" i="1"/>
  <c r="J7" i="1"/>
  <c r="E7" i="1"/>
  <c r="G7" i="1"/>
  <c r="A20" i="1"/>
  <c r="B20" i="1"/>
  <c r="H20" i="1"/>
  <c r="I20" i="1"/>
  <c r="J20" i="1"/>
  <c r="E20" i="1"/>
  <c r="G20" i="1"/>
  <c r="A49" i="1"/>
  <c r="B49" i="1"/>
  <c r="H49" i="1"/>
  <c r="I49" i="1"/>
  <c r="J49" i="1"/>
  <c r="E49" i="1"/>
  <c r="G49" i="1"/>
  <c r="A25" i="1"/>
  <c r="B25" i="1"/>
  <c r="H25" i="1"/>
  <c r="I25" i="1"/>
  <c r="J25" i="1"/>
  <c r="E25" i="1"/>
  <c r="G25" i="1"/>
  <c r="A15" i="1"/>
  <c r="B15" i="1"/>
  <c r="H15" i="1"/>
  <c r="I15" i="1"/>
  <c r="J15" i="1"/>
  <c r="E15" i="1"/>
  <c r="G15" i="1"/>
  <c r="A26" i="1"/>
  <c r="B26" i="1"/>
  <c r="H26" i="1"/>
  <c r="I26" i="1"/>
  <c r="J26" i="1"/>
  <c r="E26" i="1"/>
  <c r="G26" i="1"/>
  <c r="A27" i="1"/>
  <c r="B27" i="1"/>
  <c r="H27" i="1"/>
  <c r="I27" i="1"/>
  <c r="J27" i="1"/>
  <c r="E27" i="1"/>
  <c r="G27" i="1"/>
  <c r="A28" i="1"/>
  <c r="B28" i="1"/>
  <c r="H28" i="1"/>
  <c r="I28" i="1"/>
  <c r="J28" i="1"/>
  <c r="E28" i="1"/>
  <c r="G28" i="1"/>
  <c r="A4" i="1"/>
  <c r="B4" i="1"/>
  <c r="H4" i="1"/>
  <c r="I4" i="1"/>
  <c r="J4" i="1"/>
  <c r="E4" i="1"/>
  <c r="G4" i="1"/>
  <c r="A8" i="1"/>
  <c r="B8" i="1"/>
  <c r="H8" i="1"/>
  <c r="I8" i="1"/>
  <c r="J8" i="1"/>
  <c r="E8" i="1"/>
  <c r="G8" i="1"/>
  <c r="A22" i="1"/>
  <c r="B22" i="1"/>
  <c r="H22" i="1"/>
  <c r="I22" i="1"/>
  <c r="J22" i="1"/>
  <c r="E22" i="1"/>
  <c r="G22" i="1"/>
  <c r="A39" i="1"/>
  <c r="B39" i="1"/>
  <c r="H39" i="1"/>
  <c r="I39" i="1"/>
  <c r="J39" i="1"/>
  <c r="E39" i="1"/>
  <c r="G39" i="1"/>
  <c r="A41" i="1"/>
  <c r="B41" i="1"/>
  <c r="H41" i="1"/>
  <c r="I41" i="1"/>
  <c r="J41" i="1"/>
  <c r="E41" i="1"/>
  <c r="G41" i="1"/>
  <c r="A24" i="1"/>
  <c r="B24" i="1"/>
  <c r="H24" i="1"/>
  <c r="I24" i="1"/>
  <c r="J24" i="1"/>
  <c r="E24" i="1"/>
  <c r="G24" i="1"/>
  <c r="A44" i="1"/>
  <c r="B44" i="1"/>
  <c r="H44" i="1"/>
  <c r="I44" i="1"/>
  <c r="J44" i="1"/>
  <c r="E44" i="1"/>
  <c r="G44" i="1"/>
  <c r="A31" i="1"/>
  <c r="B31" i="1"/>
  <c r="H31" i="1"/>
  <c r="I31" i="1"/>
  <c r="J31" i="1"/>
  <c r="E31" i="1"/>
  <c r="G31" i="1"/>
  <c r="A29" i="1"/>
  <c r="B29" i="1"/>
  <c r="H29" i="1"/>
  <c r="I29" i="1"/>
  <c r="J29" i="1"/>
  <c r="E29" i="1"/>
  <c r="G29" i="1"/>
  <c r="A32" i="1"/>
  <c r="B32" i="1"/>
  <c r="H32" i="1"/>
  <c r="I32" i="1"/>
  <c r="J32" i="1"/>
  <c r="E32" i="1"/>
  <c r="G32" i="1"/>
  <c r="A19" i="1"/>
  <c r="B19" i="1"/>
  <c r="H19" i="1"/>
  <c r="I19" i="1"/>
  <c r="J19" i="1"/>
  <c r="E19" i="1"/>
  <c r="G19" i="1"/>
  <c r="A2" i="1"/>
  <c r="B2" i="1"/>
  <c r="H2" i="1"/>
  <c r="I2" i="1"/>
  <c r="J2" i="1"/>
  <c r="E2" i="1"/>
  <c r="G2" i="1"/>
  <c r="A23" i="1"/>
  <c r="B23" i="1"/>
  <c r="H23" i="1"/>
  <c r="I23" i="1"/>
  <c r="J23" i="1"/>
  <c r="E23" i="1"/>
  <c r="G23" i="1"/>
  <c r="A42" i="1"/>
  <c r="B42" i="1"/>
  <c r="H42" i="1"/>
  <c r="I42" i="1"/>
  <c r="J42" i="1"/>
  <c r="E42" i="1"/>
  <c r="G42" i="1"/>
  <c r="A13" i="1"/>
  <c r="B13" i="1"/>
  <c r="H13" i="1"/>
  <c r="I13" i="1"/>
  <c r="J13" i="1"/>
  <c r="E13" i="1"/>
  <c r="G13" i="1"/>
</calcChain>
</file>

<file path=xl/sharedStrings.xml><?xml version="1.0" encoding="utf-8"?>
<sst xmlns="http://schemas.openxmlformats.org/spreadsheetml/2006/main" count="5" uniqueCount="5">
  <si>
    <t>DESIGN PROJ. ID</t>
  </si>
  <si>
    <t>CONST. PROJ. ID</t>
  </si>
  <si>
    <t>STATE FISC. YEAR</t>
  </si>
  <si>
    <t>LET DATE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</si>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</sst>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8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pane ySplit="1" topLeftCell="A2" activePane="bottomLeft" state="frozen"/>
      <selection pane="bottomLeft" activeCell="H4" sqref="H4:H5"/>
    </sheetView>
  </sheetViews>
  <sheetFormatPr defaultColWidth="8.85546875" defaultRowHeight="15" x14ac:dyDescent="0.25"/>
  <cols>
    <col min="1" max="2" width="10.28515625" style="1" bestFit="1" customWidth="1"/>
    <col min="3" max="3" width="7.42578125" style="1" bestFit="1" customWidth="1"/>
    <col min="4" max="4" width="10.7109375" style="1" bestFit="1" customWidth="1"/>
    <col min="5" max="5" width="8" style="1" bestFit="1" customWidth="1"/>
    <col min="6" max="6" width="9.5703125" style="1" customWidth="1"/>
    <col min="7" max="7" width="11.5703125" style="1" bestFit="1" customWidth="1"/>
    <col min="8" max="8" width="37.5703125" style="1" bestFit="1" customWidth="1"/>
    <col min="9" max="9" width="36.7109375" style="1" bestFit="1" customWidth="1"/>
    <col min="10" max="10" width="31.28515625" style="1" bestFit="1" customWidth="1"/>
    <col min="11" max="16384" width="8.85546875" style="1"/>
  </cols>
  <sheetData>
    <row r="1" spans="1:10" s="3" customFormat="1" ht="75" x14ac:dyDescent="0.3">
      <c r="A1" s="3" t="s">
        <v>0</v>
      </c>
      <c r="B1" s="3" t="s">
        <v>1</v>
      </c>
      <c r="C1" s="3" t="s">
        <v>2</v>
      </c>
      <c r="D1" s="3" t="s">
        <v>3</v>
      </c>
      <c r="E1" s="3" t="str">
        <f>CLEAN("HWY")</f>
        <v>HWY</v>
      </c>
      <c r="F1" s="3" t="s">
        <v>4</v>
      </c>
      <c r="G1" s="3" t="str">
        <f>CLEAN("COUNTY")</f>
        <v>COUNTY</v>
      </c>
      <c r="H1" s="3" t="str">
        <f>CLEAN("TITLE")</f>
        <v>TITLE</v>
      </c>
      <c r="I1" s="3" t="str">
        <f>CLEAN("LIMIT")</f>
        <v>LIMIT</v>
      </c>
      <c r="J1" s="3" t="str">
        <f>CLEAN("CONCEPT")</f>
        <v>CONCEPT</v>
      </c>
    </row>
    <row r="2" spans="1:10" x14ac:dyDescent="0.25">
      <c r="A2" s="1" t="str">
        <f>CLEAN("9808-00-00")</f>
        <v>9808-00-00</v>
      </c>
      <c r="B2" s="1" t="str">
        <f>CLEAN("9808-00-71")</f>
        <v>9808-00-71</v>
      </c>
      <c r="C2" s="1">
        <v>2016</v>
      </c>
      <c r="D2" s="2">
        <v>42199</v>
      </c>
      <c r="E2" s="1" t="str">
        <f>CLEAN("LOC-STR")</f>
        <v>LOC-STR</v>
      </c>
      <c r="F2" s="1">
        <v>4.0999999999999996</v>
      </c>
      <c r="G2" s="1" t="str">
        <f>CLEAN("FOREST")</f>
        <v>FOREST</v>
      </c>
      <c r="H2" s="1" t="str">
        <f>CLEAN("STH 70 - CTH A")</f>
        <v>STH 70 - CTH A</v>
      </c>
      <c r="I2" s="1" t="str">
        <f>CLEAN("FISHEL ROAD; FH59 FR2193")</f>
        <v>FISHEL ROAD; FH59 FR2193</v>
      </c>
      <c r="J2" s="1" t="str">
        <f>CLEAN("CONST/RESURFACE")</f>
        <v>CONST/RESURFACE</v>
      </c>
    </row>
    <row r="3" spans="1:10" x14ac:dyDescent="0.25">
      <c r="A3" s="1" t="str">
        <f>CLEAN("6627-01-00")</f>
        <v>6627-01-00</v>
      </c>
      <c r="B3" s="1" t="str">
        <f>CLEAN("6627-01-70")</f>
        <v>6627-01-70</v>
      </c>
      <c r="C3" s="1">
        <v>2016</v>
      </c>
      <c r="D3" s="2">
        <v>42346</v>
      </c>
      <c r="E3" s="1" t="str">
        <f>CLEAN("LOC-STR")</f>
        <v>LOC-STR</v>
      </c>
      <c r="F3" s="1">
        <v>0.09</v>
      </c>
      <c r="G3" s="1" t="str">
        <f>CLEAN("GREEN LAKE")</f>
        <v>GREEN LAKE</v>
      </c>
      <c r="H3" s="1" t="str">
        <f>CLEAN("T KINGSTON  GILLETTE DRIVE")</f>
        <v>T KINGSTON  GILLETTE DRIVE</v>
      </c>
      <c r="I3" s="1" t="str">
        <f>CLEAN("BELLE FOUNTAIN CRK BRIDGE B-24-0042")</f>
        <v>BELLE FOUNTAIN CRK BRIDGE B-24-0042</v>
      </c>
      <c r="J3" s="1" t="str">
        <f>CLEAN("CONST/REPLACEMENT")</f>
        <v>CONST/REPLACEMENT</v>
      </c>
    </row>
    <row r="4" spans="1:10" x14ac:dyDescent="0.25">
      <c r="A4" s="1" t="str">
        <f>CLEAN("6999-18-06")</f>
        <v>6999-18-06</v>
      </c>
      <c r="B4" s="1" t="str">
        <f>CLEAN("6999-18-76")</f>
        <v>6999-18-76</v>
      </c>
      <c r="C4" s="1">
        <v>2016</v>
      </c>
      <c r="D4" s="2">
        <v>42500</v>
      </c>
      <c r="E4" s="1" t="str">
        <f>CLEAN("LOC-STR")</f>
        <v>LOC-STR</v>
      </c>
      <c r="F4" s="1">
        <v>0.97699999999999998</v>
      </c>
      <c r="G4" s="1" t="str">
        <f>CLEAN("MARATHON")</f>
        <v>MARATHON</v>
      </c>
      <c r="H4" s="1" t="str">
        <f>CLEAN("C SCHOFIELD  WEST GRAND AVENUE")</f>
        <v>C SCHOFIELD  WEST GRAND AVENUE</v>
      </c>
      <c r="I4" s="1" t="str">
        <f>CLEAN("KORT STREET TO GRAND AVENUE")</f>
        <v>KORT STREET TO GRAND AVENUE</v>
      </c>
      <c r="J4" s="1" t="str">
        <f>CLEAN("CONST/RESURFACE")</f>
        <v>CONST/RESURFACE</v>
      </c>
    </row>
    <row r="5" spans="1:10" x14ac:dyDescent="0.25">
      <c r="A5" s="1" t="str">
        <f>CLEAN("6882-01-00")</f>
        <v>6882-01-00</v>
      </c>
      <c r="B5" s="1" t="str">
        <f>CLEAN("6882-01-70")</f>
        <v>6882-01-70</v>
      </c>
      <c r="C5" s="1">
        <v>2016</v>
      </c>
      <c r="D5" s="2">
        <v>42563</v>
      </c>
      <c r="E5" s="1" t="str">
        <f>CLEAN("CTH-J")</f>
        <v>CTH-J</v>
      </c>
      <c r="F5" s="1">
        <v>6.6000000000000003E-2</v>
      </c>
      <c r="G5" s="1" t="str">
        <f>CLEAN("WAUPACA")</f>
        <v>WAUPACA</v>
      </c>
      <c r="H5" s="1" t="str">
        <f>CLEAN("CTH C - MUD LAKE ROAD")</f>
        <v>CTH C - MUD LAKE ROAD</v>
      </c>
      <c r="I5" s="1" t="str">
        <f>CLEAN("LITTLE WOLF RIVER BRIDGE B-68-0138")</f>
        <v>LITTLE WOLF RIVER BRIDGE B-68-0138</v>
      </c>
      <c r="J5" s="1" t="str">
        <f>CLEAN("CONST/REPLACEMENT")</f>
        <v>CONST/REPLACEMENT</v>
      </c>
    </row>
    <row r="6" spans="1:10" x14ac:dyDescent="0.25">
      <c r="A6" s="1" t="str">
        <f>CLEAN("6862-01-00")</f>
        <v>6862-01-00</v>
      </c>
      <c r="B6" s="1" t="str">
        <f>CLEAN("6862-01-70")</f>
        <v>6862-01-70</v>
      </c>
      <c r="C6" s="1">
        <v>2016</v>
      </c>
      <c r="D6" s="2">
        <v>42563</v>
      </c>
      <c r="E6" s="1" t="str">
        <f>CLEAN("CTH-XX")</f>
        <v>CTH-XX</v>
      </c>
      <c r="F6" s="1">
        <v>0.19</v>
      </c>
      <c r="G6" s="1" t="str">
        <f>CLEAN("WAUSHARA")</f>
        <v>WAUSHARA</v>
      </c>
      <c r="H6" s="1" t="str">
        <f>CLEAN("EAST WAUSHARA STREET - CTH X")</f>
        <v>EAST WAUSHARA STREET - CTH X</v>
      </c>
      <c r="I6" s="1" t="str">
        <f>CLEAN("FOX RIVER BRIDGE B-69-0003")</f>
        <v>FOX RIVER BRIDGE B-69-0003</v>
      </c>
      <c r="J6" s="1" t="str">
        <f>CLEAN("CONST/BRIDGE REHAB")</f>
        <v>CONST/BRIDGE REHAB</v>
      </c>
    </row>
    <row r="7" spans="1:10" x14ac:dyDescent="0.25">
      <c r="A7" s="1" t="str">
        <f>CLEAN("6999-06-08")</f>
        <v>6999-06-08</v>
      </c>
      <c r="B7" s="1" t="str">
        <f>CLEAN("6999-06-78")</f>
        <v>6999-06-78</v>
      </c>
      <c r="C7" s="1">
        <v>2016</v>
      </c>
      <c r="D7" s="2">
        <v>42409</v>
      </c>
      <c r="E7" s="1" t="str">
        <f>CLEAN("LOC-STR")</f>
        <v>LOC-STR</v>
      </c>
      <c r="F7" s="1">
        <v>7.6999999999999999E-2</v>
      </c>
      <c r="G7" s="1" t="str">
        <f>CLEAN("WOOD")</f>
        <v>WOOD</v>
      </c>
      <c r="H7" s="1" t="str">
        <f>CLEAN("C WI RAPIDS  8TH &amp; CHESTNUT STREETS")</f>
        <v>C WI RAPIDS  8TH &amp; CHESTNUT STREETS</v>
      </c>
      <c r="I7" s="1" t="str">
        <f>CLEAN("INTERSECTION MODIFICATION")</f>
        <v>INTERSECTION MODIFICATION</v>
      </c>
      <c r="J7" s="1" t="str">
        <f>CLEAN("CONST/HSIP")</f>
        <v>CONST/HSIP</v>
      </c>
    </row>
    <row r="8" spans="1:10" x14ac:dyDescent="0.25">
      <c r="A8" s="1" t="str">
        <f>CLEAN("7391-02-00")</f>
        <v>7391-02-00</v>
      </c>
      <c r="B8" s="1" t="str">
        <f>CLEAN("7391-02-70")</f>
        <v>7391-02-70</v>
      </c>
      <c r="C8" s="1">
        <v>2016</v>
      </c>
      <c r="D8" s="2">
        <v>42409</v>
      </c>
      <c r="E8" s="1" t="str">
        <f>CLEAN("CTH-B")</f>
        <v>CTH-B</v>
      </c>
      <c r="F8" s="1">
        <v>8.1000000000000003E-2</v>
      </c>
      <c r="G8" s="1" t="str">
        <f>CLEAN("WOOD")</f>
        <v>WOOD</v>
      </c>
      <c r="H8" s="1" t="str">
        <f>CLEAN("USH 10 - MACARTHUR DRIVE")</f>
        <v>USH 10 - MACARTHUR DRIVE</v>
      </c>
      <c r="I8" s="1" t="str">
        <f>CLEAN("BR YELLOW RIVER BRIDGE B-71-0193")</f>
        <v>BR YELLOW RIVER BRIDGE B-71-0193</v>
      </c>
      <c r="J8" s="1" t="str">
        <f>CLEAN("CONST/REPLACEMENT")</f>
        <v>CONST/REPLACEMENT</v>
      </c>
    </row>
    <row r="9" spans="1:10" x14ac:dyDescent="0.25">
      <c r="D9" s="2"/>
    </row>
    <row r="10" spans="1:10" x14ac:dyDescent="0.25">
      <c r="A10" s="1" t="str">
        <f>CLEAN("6219-01-02")</f>
        <v>6219-01-02</v>
      </c>
      <c r="B10" s="1" t="str">
        <f>CLEAN("6219-01-72")</f>
        <v>6219-01-72</v>
      </c>
      <c r="C10" s="1">
        <v>2017</v>
      </c>
      <c r="D10" s="2">
        <v>42591</v>
      </c>
      <c r="E10" s="1" t="str">
        <f>CLEAN("LOC-STR")</f>
        <v>LOC-STR</v>
      </c>
      <c r="F10" s="1">
        <v>0.11799999999999999</v>
      </c>
      <c r="G10" s="1" t="str">
        <f>CLEAN("ADAMS")</f>
        <v>ADAMS</v>
      </c>
      <c r="H10" s="1" t="str">
        <f>CLEAN("C WISCONSIN DELLS  9TH AVENUE")</f>
        <v>C WISCONSIN DELLS  9TH AVENUE</v>
      </c>
      <c r="I10" s="1" t="str">
        <f>CLEAN("WAUBEEK ROAD TO COLE LANE")</f>
        <v>WAUBEEK ROAD TO COLE LANE</v>
      </c>
      <c r="J10" s="1" t="str">
        <f>CLEAN("CONST OPS/REALIGN ROADWAY")</f>
        <v>CONST OPS/REALIGN ROADWAY</v>
      </c>
    </row>
    <row r="11" spans="1:10" x14ac:dyDescent="0.25">
      <c r="A11" s="1" t="str">
        <f>CLEAN("6355-00-05")</f>
        <v>6355-00-05</v>
      </c>
      <c r="B11" s="1" t="str">
        <f>CLEAN("6355-00-75")</f>
        <v>6355-00-75</v>
      </c>
      <c r="C11" s="1">
        <v>2017</v>
      </c>
      <c r="D11" s="2">
        <v>42745</v>
      </c>
      <c r="E11" s="1" t="str">
        <f>CLEAN("CTH-Z")</f>
        <v>CTH-Z</v>
      </c>
      <c r="F11" s="1">
        <v>2.5</v>
      </c>
      <c r="G11" s="1" t="str">
        <f>CLEAN("ADAMS")</f>
        <v>ADAMS</v>
      </c>
      <c r="H11" s="1" t="str">
        <f>CLEAN("MONROE CENTER - WOOD COUNTY LINE")</f>
        <v>MONROE CENTER - WOOD COUNTY LINE</v>
      </c>
      <c r="I11" s="1" t="str">
        <f>CLEAN("ALPINE DRIVE TO WOOD COUNTY LINE")</f>
        <v>ALPINE DRIVE TO WOOD COUNTY LINE</v>
      </c>
      <c r="J11" s="1" t="str">
        <f>CLEAN("CONST/RECONSTRUCT")</f>
        <v>CONST/RECONSTRUCT</v>
      </c>
    </row>
    <row r="12" spans="1:10" x14ac:dyDescent="0.25">
      <c r="A12" s="1" t="str">
        <f>CLEAN("6598-00-00")</f>
        <v>6598-00-00</v>
      </c>
      <c r="B12" s="1" t="str">
        <f>CLEAN("6598-00-70")</f>
        <v>6598-00-70</v>
      </c>
      <c r="C12" s="1">
        <v>2017</v>
      </c>
      <c r="D12" s="2">
        <v>42808</v>
      </c>
      <c r="E12" s="1" t="str">
        <f>CLEAN("CTH-I")</f>
        <v>CTH-I</v>
      </c>
      <c r="F12" s="1">
        <v>0</v>
      </c>
      <c r="G12" s="1" t="str">
        <f>CLEAN("GREEN LAKE")</f>
        <v>GREEN LAKE</v>
      </c>
      <c r="H12" s="1" t="str">
        <f>CLEAN("STH 44 - CTH U")</f>
        <v>STH 44 - CTH U</v>
      </c>
      <c r="I12" s="1" t="str">
        <f>CLEAN("GRAND RIVER BRIDGE B-24-0006")</f>
        <v>GRAND RIVER BRIDGE B-24-0006</v>
      </c>
      <c r="J12" s="1" t="str">
        <f>CLEAN("CONST/REPLACEMENT")</f>
        <v>CONST/REPLACEMENT</v>
      </c>
    </row>
    <row r="13" spans="1:10" x14ac:dyDescent="0.25">
      <c r="A13" s="1" t="str">
        <f>CLEAN("9993-04-00")</f>
        <v>9993-04-00</v>
      </c>
      <c r="B13" s="1" t="str">
        <f>CLEAN("9993-04-70")</f>
        <v>9993-04-70</v>
      </c>
      <c r="C13" s="1">
        <v>2017</v>
      </c>
      <c r="D13" s="2">
        <v>42808</v>
      </c>
      <c r="E13" s="1" t="str">
        <f>CLEAN("CTH-D")</f>
        <v>CTH-D</v>
      </c>
      <c r="F13" s="1">
        <v>0.36299999999999999</v>
      </c>
      <c r="G13" s="1" t="str">
        <f>CLEAN("IRON")</f>
        <v>IRON</v>
      </c>
      <c r="H13" s="1" t="str">
        <f>CLEAN("CTH D EXTENSION  CITY OF HURLEY")</f>
        <v>CTH D EXTENSION  CITY OF HURLEY</v>
      </c>
      <c r="I13" s="1" t="str">
        <f>CLEAN("STH 77 TO DIVISION STREET WEST")</f>
        <v>STH 77 TO DIVISION STREET WEST</v>
      </c>
      <c r="J13" s="1" t="str">
        <f>CLEAN("CONST/NEW ROADWAY; EARMARK")</f>
        <v>CONST/NEW ROADWAY; EARMARK</v>
      </c>
    </row>
    <row r="14" spans="1:10" x14ac:dyDescent="0.25">
      <c r="A14" s="1" t="str">
        <f>CLEAN("6663-02-01")</f>
        <v>6663-02-01</v>
      </c>
      <c r="B14" s="1" t="str">
        <f>CLEAN("6663-02-71")</f>
        <v>6663-02-71</v>
      </c>
      <c r="C14" s="1">
        <v>2017</v>
      </c>
      <c r="D14" s="2">
        <v>42717</v>
      </c>
      <c r="E14" s="1" t="str">
        <f>CLEAN("LOC-STR")</f>
        <v>LOC-STR</v>
      </c>
      <c r="F14" s="1">
        <v>0</v>
      </c>
      <c r="G14" s="1" t="str">
        <f>CLEAN("MARATHON")</f>
        <v>MARATHON</v>
      </c>
      <c r="H14" s="1" t="str">
        <f>CLEAN("RIB MT DRIVE (CTH N) PED FACILITY")</f>
        <v>RIB MT DRIVE (CTH N) PED FACILITY</v>
      </c>
      <c r="I14" s="1" t="str">
        <f>CLEAN("TOWN OF RIB MOUNTAIN")</f>
        <v>TOWN OF RIB MOUNTAIN</v>
      </c>
      <c r="J14" s="1" t="str">
        <f>CLEAN("CONSTRUCTION/TE")</f>
        <v>CONSTRUCTION/TE</v>
      </c>
    </row>
    <row r="15" spans="1:10" x14ac:dyDescent="0.25">
      <c r="A15" s="1" t="str">
        <f>CLEAN("6999-18-02")</f>
        <v>6999-18-02</v>
      </c>
      <c r="B15" s="1" t="str">
        <f>CLEAN("6999-18-72")</f>
        <v>6999-18-72</v>
      </c>
      <c r="C15" s="1">
        <v>2017</v>
      </c>
      <c r="D15" s="2">
        <v>42717</v>
      </c>
      <c r="E15" s="1" t="str">
        <f>CLEAN("LOC-STR")</f>
        <v>LOC-STR</v>
      </c>
      <c r="F15" s="1">
        <v>0.62</v>
      </c>
      <c r="G15" s="1" t="str">
        <f>CLEAN("MARATHON")</f>
        <v>MARATHON</v>
      </c>
      <c r="H15" s="1" t="str">
        <f>CLEAN("T RIB MOUNTAIN  RIB MOUNTAIN DRIVE")</f>
        <v>T RIB MOUNTAIN  RIB MOUNTAIN DRIVE</v>
      </c>
      <c r="I15" s="1" t="str">
        <f>CLEAN("MORNING GLORY LANE TO ROBIN LANE")</f>
        <v>MORNING GLORY LANE TO ROBIN LANE</v>
      </c>
      <c r="J15" s="1" t="str">
        <f>CLEAN("CONST/RESURFACE")</f>
        <v>CONST/RESURFACE</v>
      </c>
    </row>
    <row r="16" spans="1:10" x14ac:dyDescent="0.25">
      <c r="A16" s="1" t="str">
        <f>CLEAN("6799-01-00")</f>
        <v>6799-01-00</v>
      </c>
      <c r="B16" s="1" t="str">
        <f>CLEAN("6799-01-70")</f>
        <v>6799-01-70</v>
      </c>
      <c r="C16" s="1">
        <v>2017</v>
      </c>
      <c r="D16" s="2">
        <v>42780</v>
      </c>
      <c r="E16" s="1" t="str">
        <f>CLEAN("CTH-G")</f>
        <v>CTH-G</v>
      </c>
      <c r="F16" s="1">
        <v>0</v>
      </c>
      <c r="G16" s="1" t="str">
        <f>CLEAN("PORTAGE")</f>
        <v>PORTAGE</v>
      </c>
      <c r="H16" s="1" t="str">
        <f>CLEAN("TOWN HALL ROAD - BROWN THRUSH ROAD")</f>
        <v>TOWN HALL ROAD - BROWN THRUSH ROAD</v>
      </c>
      <c r="I16" s="1" t="str">
        <f>CLEAN("MILL CREEK BRIDGE B-49-0005")</f>
        <v>MILL CREEK BRIDGE B-49-0005</v>
      </c>
      <c r="J16" s="1" t="str">
        <f>CLEAN("CONST/REPLACEMENT")</f>
        <v>CONST/REPLACEMENT</v>
      </c>
    </row>
    <row r="17" spans="1:10" x14ac:dyDescent="0.25">
      <c r="A17" s="1" t="str">
        <f>CLEAN("6998-11-00")</f>
        <v>6998-11-00</v>
      </c>
      <c r="B17" s="1" t="str">
        <f>CLEAN("6998-11-70")</f>
        <v>6998-11-70</v>
      </c>
      <c r="C17" s="1">
        <v>2017</v>
      </c>
      <c r="D17" s="2">
        <v>42717</v>
      </c>
      <c r="E17" s="1" t="str">
        <f>CLEAN("LOC-STR")</f>
        <v>LOC-STR</v>
      </c>
      <c r="F17" s="1">
        <v>0.41</v>
      </c>
      <c r="G17" s="1" t="str">
        <f>CLEAN("PORTAGE")</f>
        <v>PORTAGE</v>
      </c>
      <c r="H17" s="1" t="str">
        <f>CLEAN("C STEVENS POINT  COUNTRY CLUB DRIVE")</f>
        <v>C STEVENS POINT  COUNTRY CLUB DRIVE</v>
      </c>
      <c r="I17" s="1" t="str">
        <f>CLEAN("HOOVER ROAD RAIL GRADE SEPARATION")</f>
        <v>HOOVER ROAD RAIL GRADE SEPARATION</v>
      </c>
      <c r="J17" s="1" t="str">
        <f>CLEAN("INDUSTRIAL PARK RD TO CAROLS LN")</f>
        <v>INDUSTRIAL PARK RD TO CAROLS LN</v>
      </c>
    </row>
    <row r="18" spans="1:10" x14ac:dyDescent="0.25">
      <c r="A18" s="1" t="str">
        <f>CLEAN("6998-11-01")</f>
        <v>6998-11-01</v>
      </c>
      <c r="B18" s="1" t="str">
        <f>CLEAN("6998-11-71")</f>
        <v>6998-11-71</v>
      </c>
      <c r="C18" s="1">
        <v>2017</v>
      </c>
      <c r="D18" s="2">
        <v>42717</v>
      </c>
      <c r="E18" s="1" t="str">
        <f>CLEAN("LOC-STR")</f>
        <v>LOC-STR</v>
      </c>
      <c r="F18" s="1">
        <v>0.41</v>
      </c>
      <c r="G18" s="1" t="str">
        <f>CLEAN("PORTAGE")</f>
        <v>PORTAGE</v>
      </c>
      <c r="H18" s="1" t="str">
        <f>CLEAN("C STEVENS POINT  COUNTRY CLUB DRIVE")</f>
        <v>C STEVENS POINT  COUNTRY CLUB DRIVE</v>
      </c>
      <c r="I18" s="1" t="str">
        <f>CLEAN("HOOVER ROAD RAIL GRADE SEPARATION")</f>
        <v>HOOVER ROAD RAIL GRADE SEPARATION</v>
      </c>
      <c r="J18" s="1" t="str">
        <f>CLEAN("INDUSTRIAL PARK RD TO CAROLS LN")</f>
        <v>INDUSTRIAL PARK RD TO CAROLS LN</v>
      </c>
    </row>
    <row r="19" spans="1:10" x14ac:dyDescent="0.25">
      <c r="A19" s="1" t="str">
        <f>CLEAN("9508-01-00")</f>
        <v>9508-01-00</v>
      </c>
      <c r="B19" s="1" t="str">
        <f>CLEAN("9508-01-70")</f>
        <v>9508-01-70</v>
      </c>
      <c r="C19" s="1">
        <v>2017</v>
      </c>
      <c r="D19" s="2">
        <v>42808</v>
      </c>
      <c r="E19" s="1" t="str">
        <f>CLEAN("CTH-M")</f>
        <v>CTH-M</v>
      </c>
      <c r="F19" s="1">
        <v>3</v>
      </c>
      <c r="G19" s="1" t="str">
        <f>CLEAN("VILAS")</f>
        <v>VILAS</v>
      </c>
      <c r="H19" s="1" t="str">
        <f>CLEAN("USH 51 - CTH N")</f>
        <v>USH 51 - CTH N</v>
      </c>
      <c r="I19" s="1" t="str">
        <f>CLEAN("TOWN OF ARBOR VITAE")</f>
        <v>TOWN OF ARBOR VITAE</v>
      </c>
      <c r="J19" s="1" t="str">
        <f>CLEAN("CONST/PAVEMENT REPLACEMENT")</f>
        <v>CONST/PAVEMENT REPLACEMENT</v>
      </c>
    </row>
    <row r="20" spans="1:10" x14ac:dyDescent="0.25">
      <c r="A20" s="1" t="str">
        <f>CLEAN("6999-07-18")</f>
        <v>6999-07-18</v>
      </c>
      <c r="B20" s="1" t="str">
        <f>CLEAN("6999-07-88")</f>
        <v>6999-07-88</v>
      </c>
      <c r="C20" s="1">
        <v>2017</v>
      </c>
      <c r="D20" s="2">
        <v>42808</v>
      </c>
      <c r="E20" s="1" t="str">
        <f>CLEAN("LOC-STR")</f>
        <v>LOC-STR</v>
      </c>
      <c r="F20" s="1">
        <v>0</v>
      </c>
      <c r="G20" s="1" t="str">
        <f>CLEAN("WOOD")</f>
        <v>WOOD</v>
      </c>
      <c r="H20" s="1" t="str">
        <f>CLEAN("C WI RAPIDS  8TH &amp; EAST GRAND AVE")</f>
        <v>C WI RAPIDS  8TH &amp; EAST GRAND AVE</v>
      </c>
      <c r="I20" s="1" t="str">
        <f>CLEAN("INTERSECTION MODIFICATION")</f>
        <v>INTERSECTION MODIFICATION</v>
      </c>
      <c r="J20" s="1" t="str">
        <f>CLEAN("CONST/HSIP")</f>
        <v>CONST/HSIP</v>
      </c>
    </row>
    <row r="21" spans="1:10" x14ac:dyDescent="0.25">
      <c r="D21" s="2"/>
    </row>
    <row r="22" spans="1:10" x14ac:dyDescent="0.25">
      <c r="A22" s="1" t="str">
        <f>CLEAN("9324-02-01")</f>
        <v>9324-02-01</v>
      </c>
      <c r="B22" s="1" t="str">
        <f>CLEAN("9324-02-71")</f>
        <v>9324-02-71</v>
      </c>
      <c r="C22" s="1">
        <v>2018</v>
      </c>
      <c r="D22" s="2">
        <v>43109</v>
      </c>
      <c r="E22" s="1" t="str">
        <f>CLEAN("LOC-STR")</f>
        <v>LOC-STR</v>
      </c>
      <c r="F22" s="1">
        <v>2.5</v>
      </c>
      <c r="G22" s="1" t="str">
        <f>CLEAN("FLORENCE")</f>
        <v>FLORENCE</v>
      </c>
      <c r="H22" s="1" t="str">
        <f>CLEAN("MARINETTE COUNTY LINE - KINGSFORD")</f>
        <v>MARINETTE COUNTY LINE - KINGSFORD</v>
      </c>
      <c r="I22" s="1" t="str">
        <f>CLEAN("AGNES STREET TO HANSON ROAD")</f>
        <v>AGNES STREET TO HANSON ROAD</v>
      </c>
      <c r="J22" s="1" t="str">
        <f>CLEAN("CONST/PVRPLA")</f>
        <v>CONST/PVRPLA</v>
      </c>
    </row>
    <row r="23" spans="1:10" x14ac:dyDescent="0.25">
      <c r="A23" s="1" t="str">
        <f>CLEAN("9828-00-00")</f>
        <v>9828-00-00</v>
      </c>
      <c r="B23" s="1" t="str">
        <f>CLEAN("9828-00-70")</f>
        <v>9828-00-70</v>
      </c>
      <c r="C23" s="1">
        <v>2018</v>
      </c>
      <c r="D23" s="2">
        <v>43172</v>
      </c>
      <c r="E23" s="1" t="str">
        <f>CLEAN("LOC-STR")</f>
        <v>LOC-STR</v>
      </c>
      <c r="F23" s="1">
        <v>0</v>
      </c>
      <c r="G23" s="1" t="str">
        <f>CLEAN("IRON")</f>
        <v>IRON</v>
      </c>
      <c r="H23" s="1" t="str">
        <f>CLEAN("T MERCER  CRAMER LAKE ROAD")</f>
        <v>T MERCER  CRAMER LAKE ROAD</v>
      </c>
      <c r="I23" s="1" t="str">
        <f>CLEAN("TURTLE RIVER BRIDGE P-26-0031")</f>
        <v>TURTLE RIVER BRIDGE P-26-0031</v>
      </c>
      <c r="J23" s="1" t="str">
        <f>CLEAN("CONST/REPLACEMENT")</f>
        <v>CONST/REPLACEMENT</v>
      </c>
    </row>
    <row r="24" spans="1:10" x14ac:dyDescent="0.25">
      <c r="A24" s="1" t="str">
        <f>CLEAN("9360-00-00")</f>
        <v>9360-00-00</v>
      </c>
      <c r="B24" s="1" t="str">
        <f>CLEAN("9360-00-70")</f>
        <v>9360-00-70</v>
      </c>
      <c r="C24" s="1">
        <v>2018</v>
      </c>
      <c r="D24" s="2">
        <v>43081</v>
      </c>
      <c r="E24" s="1" t="str">
        <f>CLEAN("CTH-B")</f>
        <v>CTH-B</v>
      </c>
      <c r="F24" s="1">
        <v>0</v>
      </c>
      <c r="G24" s="1" t="str">
        <f>CLEAN("LANGLADE")</f>
        <v>LANGLADE</v>
      </c>
      <c r="H24" s="1" t="str">
        <f>CLEAN("BOGUS ROAD - TAPPA ROAD")</f>
        <v>BOGUS ROAD - TAPPA ROAD</v>
      </c>
      <c r="I24" s="1" t="str">
        <f>CLEAN("E BRANCH EAU CLAIRE RIVER P-34-0004")</f>
        <v>E BRANCH EAU CLAIRE RIVER P-34-0004</v>
      </c>
      <c r="J24" s="1" t="str">
        <f>CLEAN("CONST/REPLACEMENT")</f>
        <v>CONST/REPLACEMENT</v>
      </c>
    </row>
    <row r="25" spans="1:10" x14ac:dyDescent="0.25">
      <c r="A25" s="1" t="str">
        <f>CLEAN("6999-18-01")</f>
        <v>6999-18-01</v>
      </c>
      <c r="B25" s="1" t="str">
        <f>CLEAN("6999-18-71")</f>
        <v>6999-18-71</v>
      </c>
      <c r="C25" s="1">
        <v>2018</v>
      </c>
      <c r="D25" s="2">
        <v>43172</v>
      </c>
      <c r="E25" s="1" t="str">
        <f>CLEAN("LOC-STR")</f>
        <v>LOC-STR</v>
      </c>
      <c r="F25" s="1">
        <v>0.7</v>
      </c>
      <c r="G25" s="1" t="str">
        <f>CLEAN("MARATHON")</f>
        <v>MARATHON</v>
      </c>
      <c r="H25" s="1" t="str">
        <f>CLEAN("C WAUSAU  TOWNLINE ROAD")</f>
        <v>C WAUSAU  TOWNLINE ROAD</v>
      </c>
      <c r="I25" s="1" t="str">
        <f>CLEAN("GRAND AVENUE TO EASTHILL DRIVE")</f>
        <v>GRAND AVENUE TO EASTHILL DRIVE</v>
      </c>
      <c r="J25" s="1" t="str">
        <f>CLEAN("CONST/RECONSTRUCT")</f>
        <v>CONST/RECONSTRUCT</v>
      </c>
    </row>
    <row r="26" spans="1:10" x14ac:dyDescent="0.25">
      <c r="A26" s="1" t="str">
        <f>CLEAN("6999-18-03")</f>
        <v>6999-18-03</v>
      </c>
      <c r="B26" s="1" t="str">
        <f>CLEAN("6999-18-73")</f>
        <v>6999-18-73</v>
      </c>
      <c r="C26" s="1">
        <v>2018</v>
      </c>
      <c r="D26" s="2">
        <v>43109</v>
      </c>
      <c r="E26" s="1" t="str">
        <f>CLEAN("LOC-STR")</f>
        <v>LOC-STR</v>
      </c>
      <c r="F26" s="1">
        <v>0.8</v>
      </c>
      <c r="G26" s="1" t="str">
        <f>CLEAN("MARATHON")</f>
        <v>MARATHON</v>
      </c>
      <c r="H26" s="1" t="str">
        <f>CLEAN("C WAUSAU  SOUTH 1ST AVENUE")</f>
        <v>C WAUSAU  SOUTH 1ST AVENUE</v>
      </c>
      <c r="I26" s="1" t="str">
        <f>CLEAN("THOMAS STREET TO STEWART AVENUE")</f>
        <v>THOMAS STREET TO STEWART AVENUE</v>
      </c>
      <c r="J26" s="1" t="str">
        <f>CLEAN("CONST/RECONSTRUCT")</f>
        <v>CONST/RECONSTRUCT</v>
      </c>
    </row>
    <row r="27" spans="1:10" x14ac:dyDescent="0.25">
      <c r="A27" s="1" t="str">
        <f>CLEAN("6999-18-04")</f>
        <v>6999-18-04</v>
      </c>
      <c r="B27" s="1" t="str">
        <f>CLEAN("6999-18-74")</f>
        <v>6999-18-74</v>
      </c>
      <c r="C27" s="1">
        <v>2018</v>
      </c>
      <c r="D27" s="2">
        <v>43144</v>
      </c>
      <c r="E27" s="1" t="str">
        <f>CLEAN("LOC-STR")</f>
        <v>LOC-STR</v>
      </c>
      <c r="F27" s="1">
        <v>1.2</v>
      </c>
      <c r="G27" s="1" t="str">
        <f>CLEAN("MARATHON")</f>
        <v>MARATHON</v>
      </c>
      <c r="H27" s="1" t="str">
        <f>CLEAN("V KRONENWETTER  OLD HIGHWAY 51")</f>
        <v>V KRONENWETTER  OLD HIGHWAY 51</v>
      </c>
      <c r="I27" s="1" t="str">
        <f>CLEAN("KOWALSKI ROAD TO VILLAGE WAY DRIVE")</f>
        <v>KOWALSKI ROAD TO VILLAGE WAY DRIVE</v>
      </c>
      <c r="J27" s="1" t="str">
        <f>CLEAN("CONST/RECONDITION")</f>
        <v>CONST/RECONDITION</v>
      </c>
    </row>
    <row r="28" spans="1:10" x14ac:dyDescent="0.25">
      <c r="A28" s="1" t="str">
        <f>CLEAN("6999-18-05")</f>
        <v>6999-18-05</v>
      </c>
      <c r="B28" s="1" t="str">
        <f>CLEAN("6999-18-75")</f>
        <v>6999-18-75</v>
      </c>
      <c r="C28" s="1">
        <v>2018</v>
      </c>
      <c r="D28" s="2">
        <v>43172</v>
      </c>
      <c r="E28" s="1" t="str">
        <f>CLEAN("CTH-N")</f>
        <v>CTH-N</v>
      </c>
      <c r="F28" s="1">
        <v>1.37</v>
      </c>
      <c r="G28" s="1" t="str">
        <f>CLEAN("MARATHON")</f>
        <v>MARATHON</v>
      </c>
      <c r="H28" s="1" t="str">
        <f>CLEAN("C WAUSAU  CTH N")</f>
        <v>C WAUSAU  CTH N</v>
      </c>
      <c r="I28" s="1" t="str">
        <f>CLEAN("SKYLINE LANE TO COUNTY ROAD X")</f>
        <v>SKYLINE LANE TO COUNTY ROAD X</v>
      </c>
      <c r="J28" s="1" t="str">
        <f>CLEAN("CONST/PAVEMENT REPLACEMENT")</f>
        <v>CONST/PAVEMENT REPLACEMENT</v>
      </c>
    </row>
    <row r="29" spans="1:10" x14ac:dyDescent="0.25">
      <c r="A29" s="1" t="str">
        <f>CLEAN("9478-00-00")</f>
        <v>9478-00-00</v>
      </c>
      <c r="B29" s="1" t="str">
        <f>CLEAN("9478-00-70")</f>
        <v>9478-00-70</v>
      </c>
      <c r="C29" s="1">
        <v>2018</v>
      </c>
      <c r="D29" s="2">
        <v>43109</v>
      </c>
      <c r="E29" s="1" t="str">
        <f>CLEAN("LOC-STR")</f>
        <v>LOC-STR</v>
      </c>
      <c r="F29" s="1">
        <v>4.891</v>
      </c>
      <c r="G29" s="1" t="str">
        <f>CLEAN("MARATHON")</f>
        <v>MARATHON</v>
      </c>
      <c r="H29" s="1" t="str">
        <f>CLEAN("STETSONVILLE - STH 97")</f>
        <v>STETSONVILLE - STH 97</v>
      </c>
      <c r="I29" s="1" t="str">
        <f>CLEAN("WEST COUNTY LINE TO STH 97")</f>
        <v>WEST COUNTY LINE TO STH 97</v>
      </c>
      <c r="J29" s="1" t="str">
        <f>CLEAN("CONST/PVRPLA")</f>
        <v>CONST/PVRPLA</v>
      </c>
    </row>
    <row r="30" spans="1:10" x14ac:dyDescent="0.25">
      <c r="A30" s="1" t="str">
        <f>CLEAN("6711-00-00")</f>
        <v>6711-00-00</v>
      </c>
      <c r="B30" s="1" t="str">
        <f>CLEAN("6711-00-70")</f>
        <v>6711-00-70</v>
      </c>
      <c r="C30" s="1">
        <v>2018</v>
      </c>
      <c r="D30" s="2">
        <v>43144</v>
      </c>
      <c r="E30" s="1" t="str">
        <f>CLEAN("CTH-D")</f>
        <v>CTH-D</v>
      </c>
      <c r="F30" s="1">
        <v>0.35899999999999999</v>
      </c>
      <c r="G30" s="1" t="str">
        <f>CLEAN("MARQUETTE")</f>
        <v>MARQUETTE</v>
      </c>
      <c r="H30" s="1" t="str">
        <f>CLEAN("IH 39 - CTH K")</f>
        <v>IH 39 - CTH K</v>
      </c>
      <c r="I30" s="1" t="str">
        <f>CLEAN("LAKE STREET TO FREEDOM ROAD")</f>
        <v>LAKE STREET TO FREEDOM ROAD</v>
      </c>
      <c r="J30" s="1" t="str">
        <f>CLEAN("CONST/PAVEMENT REPLACEMENT")</f>
        <v>CONST/PAVEMENT REPLACEMENT</v>
      </c>
    </row>
    <row r="31" spans="1:10" x14ac:dyDescent="0.25">
      <c r="A31" s="1" t="str">
        <f>CLEAN("9465-00-00")</f>
        <v>9465-00-00</v>
      </c>
      <c r="B31" s="1" t="str">
        <f>CLEAN("9465-00-70")</f>
        <v>9465-00-70</v>
      </c>
      <c r="C31" s="1">
        <v>2018</v>
      </c>
      <c r="D31" s="2">
        <v>43081</v>
      </c>
      <c r="E31" s="1" t="str">
        <f>CLEAN("CTH-Y")</f>
        <v>CTH-Y</v>
      </c>
      <c r="F31" s="1">
        <v>2.2000000000000002</v>
      </c>
      <c r="G31" s="1" t="str">
        <f>CLEAN("ONEIDA")</f>
        <v>ONEIDA</v>
      </c>
      <c r="H31" s="1" t="str">
        <f>CLEAN("LINCOLN COUNTY LINE - USH 51")</f>
        <v>LINCOLN COUNTY LINE - USH 51</v>
      </c>
      <c r="I31" s="1" t="str">
        <f>CLEAN("SOUTH GARTH LAKE ROAD TO USH 51")</f>
        <v>SOUTH GARTH LAKE ROAD TO USH 51</v>
      </c>
      <c r="J31" s="1" t="str">
        <f>CLEAN("CONST/RECONDITION")</f>
        <v>CONST/RECONDITION</v>
      </c>
    </row>
    <row r="32" spans="1:10" x14ac:dyDescent="0.25">
      <c r="A32" s="1" t="str">
        <f>CLEAN("9480-00-00")</f>
        <v>9480-00-00</v>
      </c>
      <c r="B32" s="1" t="str">
        <f>CLEAN("9480-00-70")</f>
        <v>9480-00-70</v>
      </c>
      <c r="C32" s="1">
        <v>2018</v>
      </c>
      <c r="D32" s="2">
        <v>43144</v>
      </c>
      <c r="E32" s="1" t="str">
        <f>CLEAN("CTH-H")</f>
        <v>CTH-H</v>
      </c>
      <c r="F32" s="1">
        <v>0</v>
      </c>
      <c r="G32" s="1" t="str">
        <f>CLEAN("PRICE")</f>
        <v>PRICE</v>
      </c>
      <c r="H32" s="1" t="str">
        <f>CLEAN("STH 13 - S AIRPORT ROAD")</f>
        <v>STH 13 - S AIRPORT ROAD</v>
      </c>
      <c r="I32" s="1" t="str">
        <f>CLEAN("LAKE DUROY BRIDGE B-50-0028")</f>
        <v>LAKE DUROY BRIDGE B-50-0028</v>
      </c>
      <c r="J32" s="1" t="str">
        <f>CLEAN("CONST/BRIDGE REHAB")</f>
        <v>CONST/BRIDGE REHAB</v>
      </c>
    </row>
    <row r="33" spans="1:10" x14ac:dyDescent="0.25">
      <c r="A33" s="1" t="str">
        <f>CLEAN("6844-14-00")</f>
        <v>6844-14-00</v>
      </c>
      <c r="B33" s="1" t="str">
        <f>CLEAN("6844-14-70")</f>
        <v>6844-14-70</v>
      </c>
      <c r="C33" s="1">
        <v>2018</v>
      </c>
      <c r="D33" s="2">
        <v>43053</v>
      </c>
      <c r="E33" s="1" t="str">
        <f>CLEAN("CTH-E")</f>
        <v>CTH-E</v>
      </c>
      <c r="F33" s="1">
        <v>0</v>
      </c>
      <c r="G33" s="1" t="str">
        <f>CLEAN("WAUPACA")</f>
        <v>WAUPACA</v>
      </c>
      <c r="H33" s="1" t="str">
        <f>CLEAN("EVANS STREET - SHADOW LAKE ROAD")</f>
        <v>EVANS STREET - SHADOW LAKE ROAD</v>
      </c>
      <c r="I33" s="1" t="str">
        <f>CLEAN("CRYSTAL RIVER ARCH BRIDGE P-68-0717")</f>
        <v>CRYSTAL RIVER ARCH BRIDGE P-68-0717</v>
      </c>
      <c r="J33" s="1" t="str">
        <f>CLEAN("CONST/REPLACEMENT")</f>
        <v>CONST/REPLACEMENT</v>
      </c>
    </row>
    <row r="34" spans="1:10" x14ac:dyDescent="0.25">
      <c r="A34" s="1" t="str">
        <f>CLEAN("6902-00-00")</f>
        <v>6902-00-00</v>
      </c>
      <c r="B34" s="1" t="str">
        <f>CLEAN("6902-00-70")</f>
        <v>6902-00-70</v>
      </c>
      <c r="C34" s="1">
        <v>2018</v>
      </c>
      <c r="D34" s="2">
        <v>43109</v>
      </c>
      <c r="E34" s="1" t="str">
        <f>CLEAN("LOC-STR")</f>
        <v>LOC-STR</v>
      </c>
      <c r="F34" s="1">
        <v>3.7999999999999999E-2</v>
      </c>
      <c r="G34" s="1" t="str">
        <f>CLEAN("WAUPACA")</f>
        <v>WAUPACA</v>
      </c>
      <c r="H34" s="1" t="str">
        <f>CLEAN("T LIND  SHADOW ROAD")</f>
        <v>T LIND  SHADOW ROAD</v>
      </c>
      <c r="I34" s="1" t="str">
        <f>CLEAN("CRYSTAL RIVER BRIDGE P-68-0104")</f>
        <v>CRYSTAL RIVER BRIDGE P-68-0104</v>
      </c>
      <c r="J34" s="1" t="str">
        <f>CLEAN("CONST/REPLACEMENT")</f>
        <v>CONST/REPLACEMENT</v>
      </c>
    </row>
    <row r="35" spans="1:10" x14ac:dyDescent="0.25">
      <c r="A35" s="1" t="str">
        <f>CLEAN("6902-01-00")</f>
        <v>6902-01-00</v>
      </c>
      <c r="B35" s="1" t="str">
        <f>CLEAN("6902-01-70")</f>
        <v>6902-01-70</v>
      </c>
      <c r="C35" s="1">
        <v>2018</v>
      </c>
      <c r="D35" s="2">
        <v>43109</v>
      </c>
      <c r="E35" s="1" t="str">
        <f>CLEAN("LOC-STR")</f>
        <v>LOC-STR</v>
      </c>
      <c r="F35" s="1">
        <v>0</v>
      </c>
      <c r="G35" s="1" t="str">
        <f>CLEAN("WAUPACA")</f>
        <v>WAUPACA</v>
      </c>
      <c r="H35" s="1" t="str">
        <f>CLEAN("T LIND  HATTON ROAD")</f>
        <v>T LIND  HATTON ROAD</v>
      </c>
      <c r="I35" s="1" t="str">
        <f>CLEAN("HATTON CREEK BRIDGE P-68-0102")</f>
        <v>HATTON CREEK BRIDGE P-68-0102</v>
      </c>
      <c r="J35" s="1" t="str">
        <f>CLEAN("CONST/REPLACEMENT")</f>
        <v>CONST/REPLACEMENT</v>
      </c>
    </row>
    <row r="36" spans="1:10" x14ac:dyDescent="0.25">
      <c r="A36" s="1" t="str">
        <f>CLEAN("6986-01-00")</f>
        <v>6986-01-00</v>
      </c>
      <c r="B36" s="1" t="str">
        <f>CLEAN("6986-01-70")</f>
        <v>6986-01-70</v>
      </c>
      <c r="C36" s="1">
        <v>2018</v>
      </c>
      <c r="D36" s="2">
        <v>43081</v>
      </c>
      <c r="E36" s="1" t="str">
        <f>CLEAN("CTH-F")</f>
        <v>CTH-F</v>
      </c>
      <c r="F36" s="1">
        <v>4.5</v>
      </c>
      <c r="G36" s="1" t="str">
        <f>CLEAN("WAUSHARA")</f>
        <v>WAUSHARA</v>
      </c>
      <c r="H36" s="1" t="str">
        <f>CLEAN("STH 73 - SPRING LAKE")</f>
        <v>STH 73 - SPRING LAKE</v>
      </c>
      <c r="I36" s="1" t="str">
        <f>CLEAN("STH 73 TO CTH Z")</f>
        <v>STH 73 TO CTH Z</v>
      </c>
      <c r="J36" s="1" t="str">
        <f>CLEAN("CONST/RESURFACE")</f>
        <v>CONST/RESURFACE</v>
      </c>
    </row>
    <row r="37" spans="1:10" x14ac:dyDescent="0.25">
      <c r="A37" s="1" t="str">
        <f>CLEAN("6995-11-01")</f>
        <v>6995-11-01</v>
      </c>
      <c r="B37" s="1" t="str">
        <f>CLEAN("6995-11-71")</f>
        <v>6995-11-71</v>
      </c>
      <c r="C37" s="1">
        <v>2018</v>
      </c>
      <c r="D37" s="2">
        <v>43053</v>
      </c>
      <c r="E37" s="1" t="str">
        <f>CLEAN("LOC-STR")</f>
        <v>LOC-STR</v>
      </c>
      <c r="F37" s="1">
        <v>0.4</v>
      </c>
      <c r="G37" s="1" t="str">
        <f>CLEAN("WOOD")</f>
        <v>WOOD</v>
      </c>
      <c r="H37" s="1" t="str">
        <f>CLEAN("C MARSHFIELD  EAST 29TH STREET")</f>
        <v>C MARSHFIELD  EAST 29TH STREET</v>
      </c>
      <c r="I37" s="1" t="str">
        <f>CLEAN("HUME AVENUE TO VETERANS PARKWAY")</f>
        <v>HUME AVENUE TO VETERANS PARKWAY</v>
      </c>
      <c r="J37" s="1" t="str">
        <f>CLEAN("CONST/RECONSTRUCT")</f>
        <v>CONST/RECONSTRUCT</v>
      </c>
    </row>
    <row r="38" spans="1:10" x14ac:dyDescent="0.25">
      <c r="D38" s="2"/>
    </row>
    <row r="39" spans="1:10" x14ac:dyDescent="0.25">
      <c r="A39" s="1" t="str">
        <f>CLEAN("9333-00-00")</f>
        <v>9333-00-00</v>
      </c>
      <c r="B39" s="1" t="str">
        <f>CLEAN("9333-00-70")</f>
        <v>9333-00-70</v>
      </c>
      <c r="C39" s="1">
        <v>2019</v>
      </c>
      <c r="D39" s="2">
        <v>43508</v>
      </c>
      <c r="E39" s="1" t="str">
        <f>CLEAN("LOC-STR")</f>
        <v>LOC-STR</v>
      </c>
      <c r="F39" s="1">
        <v>6.3079999999999998</v>
      </c>
      <c r="G39" s="1" t="str">
        <f>CLEAN("FOREST")</f>
        <v>FOREST</v>
      </c>
      <c r="H39" s="1" t="str">
        <f>CLEAN("ARGONNE - CAVOUR")</f>
        <v>ARGONNE - CAVOUR</v>
      </c>
      <c r="I39" s="1" t="str">
        <f>CLEAN("PESTIGO RIVER ROAD TO CTH O")</f>
        <v>PESTIGO RIVER ROAD TO CTH O</v>
      </c>
      <c r="J39" s="1" t="str">
        <f>CLEAN("CONST/PVRPLA")</f>
        <v>CONST/PVRPLA</v>
      </c>
    </row>
    <row r="40" spans="1:10" x14ac:dyDescent="0.25">
      <c r="A40" s="1" t="str">
        <f>CLEAN("6597-00-00")</f>
        <v>6597-00-00</v>
      </c>
      <c r="B40" s="1" t="str">
        <f>CLEAN("6597-00-70")</f>
        <v>6597-00-70</v>
      </c>
      <c r="C40" s="1">
        <v>2019</v>
      </c>
      <c r="D40" s="2">
        <v>43536</v>
      </c>
      <c r="E40" s="1" t="str">
        <f>CLEAN("CTH-S")</f>
        <v>CTH-S</v>
      </c>
      <c r="F40" s="1">
        <v>0</v>
      </c>
      <c r="G40" s="1" t="str">
        <f>CLEAN("GREEN LAKE")</f>
        <v>GREEN LAKE</v>
      </c>
      <c r="H40" s="1" t="str">
        <f>CLEAN("CTH A - CTH Q")</f>
        <v>CTH A - CTH Q</v>
      </c>
      <c r="I40" s="1" t="str">
        <f>CLEAN("GRAND RIVER BRIDGE P-24-0026")</f>
        <v>GRAND RIVER BRIDGE P-24-0026</v>
      </c>
      <c r="J40" s="1" t="str">
        <f>CLEAN("CONST/REPLACEMENT")</f>
        <v>CONST/REPLACEMENT</v>
      </c>
    </row>
    <row r="41" spans="1:10" x14ac:dyDescent="0.25">
      <c r="A41" s="1" t="str">
        <f>CLEAN("9352-00-00")</f>
        <v>9352-00-00</v>
      </c>
      <c r="B41" s="1" t="str">
        <f>CLEAN("9352-00-70")</f>
        <v>9352-00-70</v>
      </c>
      <c r="C41" s="1">
        <v>2019</v>
      </c>
      <c r="D41" s="2">
        <v>43417</v>
      </c>
      <c r="E41" s="1" t="str">
        <f>CLEAN("CTH-G")</f>
        <v>CTH-G</v>
      </c>
      <c r="F41" s="1">
        <v>0</v>
      </c>
      <c r="G41" s="1" t="str">
        <f>CLEAN("IRON")</f>
        <v>IRON</v>
      </c>
      <c r="H41" s="1" t="str">
        <f>CLEAN("QUILL POINT ROAD - CTH H")</f>
        <v>QUILL POINT ROAD - CTH H</v>
      </c>
      <c r="I41" s="1" t="str">
        <f>CLEAN("LONG LAKE INLET P-26-0913")</f>
        <v>LONG LAKE INLET P-26-0913</v>
      </c>
      <c r="J41" s="1" t="str">
        <f>CLEAN("CONST/REPLACEMENT")</f>
        <v>CONST/REPLACEMENT</v>
      </c>
    </row>
    <row r="42" spans="1:10" x14ac:dyDescent="0.25">
      <c r="A42" s="1" t="str">
        <f>CLEAN("9835-00-00")</f>
        <v>9835-00-00</v>
      </c>
      <c r="B42" s="1" t="str">
        <f>CLEAN("9835-00-70")</f>
        <v>9835-00-70</v>
      </c>
      <c r="C42" s="1">
        <v>2019</v>
      </c>
      <c r="D42" s="2">
        <v>43473</v>
      </c>
      <c r="E42" s="1" t="str">
        <f>CLEAN("LOC-STR")</f>
        <v>LOC-STR</v>
      </c>
      <c r="F42" s="1">
        <v>2.1000000000000001E-2</v>
      </c>
      <c r="G42" s="1" t="str">
        <f>CLEAN("LANGLADE")</f>
        <v>LANGLADE</v>
      </c>
      <c r="H42" s="1" t="str">
        <f>CLEAN("C ANTIGO  8TH AVENUE")</f>
        <v>C ANTIGO  8TH AVENUE</v>
      </c>
      <c r="I42" s="1" t="str">
        <f>CLEAN("SPRINGBROOK BRIDGE P-34-0703")</f>
        <v>SPRINGBROOK BRIDGE P-34-0703</v>
      </c>
      <c r="J42" s="1" t="str">
        <f>CLEAN("CONST/REPLACEMENT")</f>
        <v>CONST/REPLACEMENT</v>
      </c>
    </row>
    <row r="43" spans="1:10" x14ac:dyDescent="0.25">
      <c r="A43" s="1" t="str">
        <f>CLEAN("6670-06-00")</f>
        <v>6670-06-00</v>
      </c>
      <c r="B43" s="1" t="str">
        <f>CLEAN("6670-06-70")</f>
        <v>6670-06-70</v>
      </c>
      <c r="C43" s="1">
        <v>2019</v>
      </c>
      <c r="D43" s="2">
        <v>43536</v>
      </c>
      <c r="E43" s="1" t="str">
        <f>CLEAN("LOC-STR")</f>
        <v>LOC-STR</v>
      </c>
      <c r="F43" s="1">
        <v>0</v>
      </c>
      <c r="G43" s="1" t="str">
        <f>CLEAN("MARATHON")</f>
        <v>MARATHON</v>
      </c>
      <c r="H43" s="1" t="str">
        <f>CLEAN("T HULL  ELM ROAD")</f>
        <v>T HULL  ELM ROAD</v>
      </c>
      <c r="I43" s="1" t="str">
        <f>CLEAN("DILL CREEK BRIDGE B-37-0444")</f>
        <v>DILL CREEK BRIDGE B-37-0444</v>
      </c>
      <c r="J43" s="1" t="str">
        <f>CLEAN("CONST/REPLACEMENT")</f>
        <v>CONST/REPLACEMENT</v>
      </c>
    </row>
    <row r="44" spans="1:10" x14ac:dyDescent="0.25">
      <c r="A44" s="1" t="str">
        <f>CLEAN("9440-05-00")</f>
        <v>9440-05-00</v>
      </c>
      <c r="B44" s="1" t="str">
        <f>CLEAN("9440-05-70")</f>
        <v>9440-05-70</v>
      </c>
      <c r="C44" s="1">
        <v>2019</v>
      </c>
      <c r="D44" s="2">
        <v>43417</v>
      </c>
      <c r="E44" s="1" t="str">
        <f>CLEAN("CTH-Z")</f>
        <v>CTH-Z</v>
      </c>
      <c r="F44" s="1">
        <v>0</v>
      </c>
      <c r="G44" s="1" t="str">
        <f>CLEAN("MARATHON")</f>
        <v>MARATHON</v>
      </c>
      <c r="H44" s="1" t="str">
        <f>CLEAN("WAUSAU - ANIWA")</f>
        <v>WAUSAU - ANIWA</v>
      </c>
      <c r="I44" s="1" t="str">
        <f>CLEAN("EAU CLAIRE RIVER BRIDGE  T EASTON")</f>
        <v>EAU CLAIRE RIVER BRIDGE  T EASTON</v>
      </c>
      <c r="J44" s="1" t="str">
        <f>CLEAN("CONST/REPLACEMENT B-37-0048")</f>
        <v>CONST/REPLACEMENT B-37-0048</v>
      </c>
    </row>
    <row r="45" spans="1:10" x14ac:dyDescent="0.25">
      <c r="A45" s="1" t="str">
        <f>CLEAN("6784-00-00")</f>
        <v>6784-00-00</v>
      </c>
      <c r="B45" s="1" t="str">
        <f>CLEAN("6784-00-70")</f>
        <v>6784-00-70</v>
      </c>
      <c r="C45" s="1">
        <v>2019</v>
      </c>
      <c r="D45" s="2">
        <v>43508</v>
      </c>
      <c r="E45" s="1" t="str">
        <f>CLEAN("CTH-A")</f>
        <v>CTH-A</v>
      </c>
      <c r="F45" s="1">
        <v>0</v>
      </c>
      <c r="G45" s="1" t="str">
        <f>CLEAN("PORTAGE")</f>
        <v>PORTAGE</v>
      </c>
      <c r="H45" s="1" t="str">
        <f>CLEAN("RIVER ROAD - USH 10")</f>
        <v>RIVER ROAD - USH 10</v>
      </c>
      <c r="I45" s="1" t="str">
        <f>CLEAN("TOMORROW RIVER BRIDGE B-49-0320")</f>
        <v>TOMORROW RIVER BRIDGE B-49-0320</v>
      </c>
      <c r="J45" s="1" t="str">
        <f>CLEAN("CONST/REPLACEMENT")</f>
        <v>CONST/REPLACEMENT</v>
      </c>
    </row>
    <row r="46" spans="1:10" x14ac:dyDescent="0.25">
      <c r="A46" s="1" t="str">
        <f>CLEAN("6997-03-00")</f>
        <v>6997-03-00</v>
      </c>
      <c r="B46" s="1" t="str">
        <f>CLEAN("6997-03-70")</f>
        <v>6997-03-70</v>
      </c>
      <c r="C46" s="1">
        <v>2019</v>
      </c>
      <c r="D46" s="2">
        <v>43417</v>
      </c>
      <c r="E46" s="1" t="str">
        <f>CLEAN("LOC-STR")</f>
        <v>LOC-STR</v>
      </c>
      <c r="F46" s="1">
        <v>0.19</v>
      </c>
      <c r="G46" s="1" t="str">
        <f>CLEAN("SHAWANO")</f>
        <v>SHAWANO</v>
      </c>
      <c r="H46" s="1" t="str">
        <f>CLEAN("C SHAWANO  EAST FIFTH STREET")</f>
        <v>C SHAWANO  EAST FIFTH STREET</v>
      </c>
      <c r="I46" s="1" t="str">
        <f>CLEAN("WASHBURN STREET TO FAIRVIEW AVENUE")</f>
        <v>WASHBURN STREET TO FAIRVIEW AVENUE</v>
      </c>
      <c r="J46" s="1" t="str">
        <f>CLEAN("CONST/RECONSTRUCT")</f>
        <v>CONST/RECONSTRUCT</v>
      </c>
    </row>
    <row r="47" spans="1:10" x14ac:dyDescent="0.25">
      <c r="A47" s="1" t="str">
        <f>CLEAN("6910-01-00")</f>
        <v>6910-01-00</v>
      </c>
      <c r="B47" s="1" t="str">
        <f>CLEAN("6910-01-70")</f>
        <v>6910-01-70</v>
      </c>
      <c r="C47" s="1">
        <v>2019</v>
      </c>
      <c r="D47" s="2">
        <v>43417</v>
      </c>
      <c r="E47" s="1" t="str">
        <f>CLEAN("LOC-STR")</f>
        <v>LOC-STR</v>
      </c>
      <c r="F47" s="1">
        <v>3.7029999999999998</v>
      </c>
      <c r="G47" s="1" t="str">
        <f>CLEAN("WAUSHARA")</f>
        <v>WAUSHARA</v>
      </c>
      <c r="H47" s="1" t="str">
        <f>CLEAN("PINE RIVER - POY SIPPI")</f>
        <v>PINE RIVER - POY SIPPI</v>
      </c>
      <c r="I47" s="1" t="str">
        <f>CLEAN("CTH E SOUTH TO STH 49")</f>
        <v>CTH E SOUTH TO STH 49</v>
      </c>
      <c r="J47" s="1" t="str">
        <f>CLEAN("CONST/PVRPLA")</f>
        <v>CONST/PVRPLA</v>
      </c>
    </row>
    <row r="48" spans="1:10" x14ac:dyDescent="0.25">
      <c r="A48" s="1" t="str">
        <f>CLEAN("6923-01-00")</f>
        <v>6923-01-00</v>
      </c>
      <c r="B48" s="1" t="str">
        <f>CLEAN("6923-01-70")</f>
        <v>6923-01-70</v>
      </c>
      <c r="C48" s="1">
        <v>2019</v>
      </c>
      <c r="D48" s="2">
        <v>43508</v>
      </c>
      <c r="E48" s="1" t="str">
        <f>CLEAN("LOC-STR")</f>
        <v>LOC-STR</v>
      </c>
      <c r="F48" s="1">
        <v>5.8280000000000003</v>
      </c>
      <c r="G48" s="1" t="str">
        <f>CLEAN("WOOD")</f>
        <v>WOOD</v>
      </c>
      <c r="H48" s="1" t="str">
        <f>CLEAN("WEST COUNTY LINE - MARSHFIELD")</f>
        <v>WEST COUNTY LINE - MARSHFIELD</v>
      </c>
      <c r="I48" s="1" t="str">
        <f>CLEAN("FAIRHAVEN AVENUE TO LINCOLN AVENUE")</f>
        <v>FAIRHAVEN AVENUE TO LINCOLN AVENUE</v>
      </c>
      <c r="J48" s="1" t="str">
        <f>CLEAN("CONST/RESURFACE")</f>
        <v>CONST/RESURFACE</v>
      </c>
    </row>
    <row r="49" spans="1:10" x14ac:dyDescent="0.25">
      <c r="A49" s="1" t="str">
        <f>CLEAN("6999-07-19")</f>
        <v>6999-07-19</v>
      </c>
      <c r="B49" s="1" t="str">
        <f>CLEAN("6999-07-89")</f>
        <v>6999-07-89</v>
      </c>
      <c r="C49" s="1">
        <v>2019</v>
      </c>
      <c r="D49" s="2">
        <v>43445</v>
      </c>
      <c r="E49" s="1" t="str">
        <f>CLEAN("LOC-STR")</f>
        <v>LOC-STR</v>
      </c>
      <c r="F49" s="1">
        <v>0.41</v>
      </c>
      <c r="G49" s="1" t="str">
        <f>CLEAN("WOOD")</f>
        <v>WOOD</v>
      </c>
      <c r="H49" s="1" t="str">
        <f>CLEAN("C WISCONSIN RAPIDS  E GRAND AVENUE")</f>
        <v>C WISCONSIN RAPIDS  E GRAND AVENUE</v>
      </c>
      <c r="I49" s="1" t="str">
        <f>CLEAN("3RD STREET TO 8TH STREET")</f>
        <v>3RD STREET TO 8TH STREET</v>
      </c>
      <c r="J49" s="1" t="str">
        <f>CLEAN("CONST/RECONSTRUCT")</f>
        <v>CONST/RECONSTRUCT</v>
      </c>
    </row>
    <row r="50" spans="1:10" x14ac:dyDescent="0.25">
      <c r="D50" s="2"/>
    </row>
    <row r="51" spans="1:10" x14ac:dyDescent="0.25">
      <c r="A51" s="1" t="str">
        <f>CLEAN("6425-00-00")</f>
        <v>6425-00-00</v>
      </c>
      <c r="B51" s="1" t="str">
        <f>CLEAN("6425-00-70")</f>
        <v>6425-00-70</v>
      </c>
      <c r="C51" s="1">
        <v>2020</v>
      </c>
      <c r="D51" s="2">
        <v>43872</v>
      </c>
      <c r="E51" s="1" t="str">
        <f>CLEAN("LOC-STR")</f>
        <v>LOC-STR</v>
      </c>
      <c r="F51" s="1">
        <v>0.81599999999999995</v>
      </c>
      <c r="G51" s="1" t="str">
        <f>CLEAN("GREEN LAKE")</f>
        <v>GREEN LAKE</v>
      </c>
      <c r="H51" s="1" t="str">
        <f>CLEAN("PRINCETON - BERLIN")</f>
        <v>PRINCETON - BERLIN</v>
      </c>
      <c r="I51" s="1" t="str">
        <f>CLEAN("STH 23 TO CTH YY")</f>
        <v>STH 23 TO CTH YY</v>
      </c>
      <c r="J51" s="1" t="str">
        <f>CLEAN("CONST/RECONSTRUCT")</f>
        <v>CONST/RECONSTRUCT</v>
      </c>
    </row>
    <row r="52" spans="1:10" x14ac:dyDescent="0.25">
      <c r="A52" s="1" t="str">
        <f>CLEAN("6995-09-01")</f>
        <v>6995-09-01</v>
      </c>
      <c r="B52" s="1" t="str">
        <f>CLEAN("6995-09-71")</f>
        <v>6995-09-71</v>
      </c>
      <c r="C52" s="1">
        <v>2020</v>
      </c>
      <c r="D52" s="2">
        <v>43900</v>
      </c>
      <c r="E52" s="1" t="str">
        <f>CLEAN("LOC-STR")</f>
        <v>LOC-STR</v>
      </c>
      <c r="F52" s="1">
        <v>1.0349999999999999</v>
      </c>
      <c r="G52" s="1" t="str">
        <f>CLEAN("GREEN LAKE")</f>
        <v>GREEN LAKE</v>
      </c>
      <c r="H52" s="1" t="str">
        <f>CLEAN("C BERLIN  RIPON ROAD")</f>
        <v>C BERLIN  RIPON ROAD</v>
      </c>
      <c r="I52" s="1" t="str">
        <f>CLEAN("SOUTH CHURCH STREET TO CITY LIMITS")</f>
        <v>SOUTH CHURCH STREET TO CITY LIMITS</v>
      </c>
      <c r="J52" s="1" t="str">
        <f>CLEAN("CONST/PVRPLA")</f>
        <v>CONST/PVRPLA</v>
      </c>
    </row>
  </sheetData>
  <sortState ref="A2:Q49">
    <sortCondition ref="C2:C49"/>
  </sortState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6E0E0-A7EE-4205-9284-D9575DA921F0}"/>
</file>

<file path=customXml/itemProps2.xml><?xml version="1.0" encoding="utf-8"?>
<ds:datastoreItem xmlns:ds="http://schemas.openxmlformats.org/officeDocument/2006/customXml" ds:itemID="{A990E7C6-E2D0-494D-9E44-65BD438CBA6B}"/>
</file>

<file path=customXml/itemProps3.xml><?xml version="1.0" encoding="utf-8"?>
<ds:datastoreItem xmlns:ds="http://schemas.openxmlformats.org/officeDocument/2006/customXml" ds:itemID="{D73E6420-ED67-4E1B-A22D-0C323A14C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 Region Local Projects 2016</dc:title>
  <dc:subject>NC Region Local Projects 2016</dc:subject>
  <dc:creator>WisDOT</dc:creator>
  <cp:lastModifiedBy>DOTJAS</cp:lastModifiedBy>
  <cp:lastPrinted>2016-02-18T19:48:02Z</cp:lastPrinted>
  <dcterms:created xsi:type="dcterms:W3CDTF">2016-02-18T19:50:48Z</dcterms:created>
  <dcterms:modified xsi:type="dcterms:W3CDTF">2016-02-25T16:24:54Z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