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autoCompressPictures="0"/>
  <mc:AlternateContent xmlns:mc="http://schemas.openxmlformats.org/markup-compatibility/2006">
    <mc:Choice Requires="x15">
      <x15ac:absPath xmlns:x15ac="http://schemas.microsoft.com/office/spreadsheetml/2010/11/ac" url="C:\BoxDrv\Box\DTSD\DTSD-BTO\Traffic\SafetyEng\SafetyProgramsPolicy\RSMP\01.1 - Network Screening\WINSS\WINNSv2.0\"/>
    </mc:Choice>
  </mc:AlternateContent>
  <xr:revisionPtr revIDLastSave="0" documentId="13_ncr:1_{9F5D73E7-B25E-4FFA-AB65-6258AEA61FE1}" xr6:coauthVersionLast="47" xr6:coauthVersionMax="47" xr10:uidLastSave="{00000000-0000-0000-0000-000000000000}"/>
  <bookViews>
    <workbookView xWindow="-108" yWindow="-108" windowWidth="30936" windowHeight="16776" tabRatio="806" xr2:uid="{EA67ADAC-25A0-4EB0-BD1B-6AE156B1E63A}"/>
  </bookViews>
  <sheets>
    <sheet name="Intersections" sheetId="11" r:id="rId1"/>
    <sheet name="Segments" sheetId="16" r:id="rId2"/>
    <sheet name="Int_AWS Optimal Fit" sheetId="19" state="hidden" r:id="rId3"/>
    <sheet name="Seg_AWS Optimal Fit" sheetId="20" state="hidden" r:id="rId4"/>
    <sheet name="Lists" sheetId="10" state="hidden" r:id="rId5"/>
  </sheets>
  <definedNames>
    <definedName name="Area_Type">Lists!$E$2:$E$4</definedName>
    <definedName name="Control">Lists!$G$2:$G$14</definedName>
    <definedName name="County">Lists!$B$2:$B$74</definedName>
    <definedName name="Divided">Lists!$K$2:$K$4</definedName>
    <definedName name="Freeway">Lists!$J$2:$J$4</definedName>
    <definedName name="INT_Roadway">Lists!$C$2:$C$4</definedName>
    <definedName name="IX_Type">Lists!$H$2:$H$16</definedName>
    <definedName name="Lanes">Lists!$J$5:$J$10</definedName>
    <definedName name="Legs">Lists!$F$2:$F$7</definedName>
    <definedName name="Median">Lists!$L$2:$L$4</definedName>
    <definedName name="RAB_Type">Lists!$I$2:$I$4</definedName>
    <definedName name="Region">Lists!$A$2:$A$7</definedName>
    <definedName name="SEG_Roadway">Lists!$D$2:$D$4</definedName>
    <definedName name="TRUE_FALSE">Lists!$O$2:$O$4</definedName>
    <definedName name="Yes_No">Lists!$N$2:$N$4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7" i="11" l="1"/>
  <c r="AR6" i="11"/>
  <c r="AR8" i="11" l="1"/>
  <c r="AR9" i="11"/>
  <c r="AR10" i="11"/>
  <c r="AR11" i="11"/>
  <c r="AR12" i="11"/>
  <c r="AR13" i="11"/>
  <c r="AR14" i="11"/>
  <c r="AR15" i="11"/>
  <c r="AR16" i="11"/>
  <c r="AR17" i="11"/>
  <c r="AR18" i="11"/>
  <c r="AR19" i="11"/>
  <c r="AR20" i="11"/>
  <c r="AR21" i="11"/>
  <c r="AR22" i="11"/>
  <c r="AR23" i="11"/>
  <c r="AR24" i="11"/>
  <c r="AR25" i="11"/>
  <c r="AR26" i="11"/>
  <c r="AR27" i="11"/>
  <c r="AR28" i="11"/>
  <c r="AR29" i="11"/>
  <c r="AR30" i="11"/>
  <c r="AR31" i="11"/>
  <c r="AR32" i="11"/>
  <c r="AR33" i="11"/>
  <c r="AR34" i="11"/>
  <c r="AR35" i="11"/>
  <c r="AR36" i="11"/>
  <c r="AR37" i="11"/>
  <c r="AR38" i="11"/>
  <c r="AR39" i="11"/>
  <c r="AR40" i="11"/>
  <c r="AR41" i="11"/>
  <c r="AR42" i="11"/>
  <c r="AR43" i="11"/>
  <c r="AR44" i="11"/>
  <c r="AR45" i="11"/>
  <c r="AR46" i="11"/>
  <c r="AR47" i="11"/>
  <c r="AC6" i="11"/>
  <c r="AC7" i="11"/>
  <c r="AC8" i="11"/>
  <c r="AC9" i="11"/>
  <c r="AC10" i="11"/>
  <c r="AC11" i="11"/>
  <c r="AC12" i="11"/>
  <c r="AC13" i="11"/>
  <c r="AC14" i="11"/>
  <c r="AC15" i="11"/>
  <c r="AB15" i="11" s="1"/>
  <c r="AC16" i="11"/>
  <c r="AU16" i="11" s="1"/>
  <c r="AW16" i="11" s="1"/>
  <c r="AC17" i="11"/>
  <c r="AC18" i="11"/>
  <c r="AD18" i="11" s="1"/>
  <c r="AC19" i="11"/>
  <c r="AD19" i="11" s="1"/>
  <c r="AC20" i="11"/>
  <c r="AD20" i="11" s="1"/>
  <c r="AC21" i="11"/>
  <c r="AC22" i="11"/>
  <c r="AC23" i="11"/>
  <c r="AC24" i="11"/>
  <c r="AC25" i="11"/>
  <c r="AC26" i="11"/>
  <c r="AC27" i="11"/>
  <c r="AC28" i="11"/>
  <c r="AC29" i="11"/>
  <c r="AC30" i="11"/>
  <c r="AC31" i="11"/>
  <c r="AC32" i="11"/>
  <c r="AC33" i="11"/>
  <c r="AC34" i="11"/>
  <c r="AC35" i="11"/>
  <c r="AC36" i="11"/>
  <c r="AC37" i="11"/>
  <c r="AC38" i="11"/>
  <c r="AC39" i="11"/>
  <c r="AC40" i="11"/>
  <c r="AC41" i="11"/>
  <c r="AC42" i="11"/>
  <c r="AC43" i="11"/>
  <c r="AC44" i="11"/>
  <c r="AC45" i="11"/>
  <c r="AC46" i="11"/>
  <c r="AC47" i="11"/>
  <c r="AA6" i="11"/>
  <c r="AA7" i="11"/>
  <c r="AA8" i="11"/>
  <c r="AA9" i="11"/>
  <c r="AA10" i="11"/>
  <c r="AA11" i="11"/>
  <c r="AA12" i="11"/>
  <c r="AA13" i="11"/>
  <c r="AA14" i="11"/>
  <c r="AA15" i="11"/>
  <c r="AA16" i="11"/>
  <c r="AA17" i="11"/>
  <c r="AA18" i="11"/>
  <c r="AA19" i="11"/>
  <c r="AA20" i="11"/>
  <c r="AA21" i="11"/>
  <c r="AA22" i="11"/>
  <c r="AA23" i="11"/>
  <c r="AA24" i="11"/>
  <c r="AA25" i="11"/>
  <c r="AA26" i="11"/>
  <c r="AA27" i="11"/>
  <c r="AA28" i="11"/>
  <c r="AA29" i="11"/>
  <c r="AA30" i="11"/>
  <c r="AA31" i="11"/>
  <c r="AA32" i="11"/>
  <c r="AA33" i="11"/>
  <c r="AA34" i="11"/>
  <c r="AA35" i="11"/>
  <c r="AA36" i="11"/>
  <c r="AA37" i="11"/>
  <c r="AA38" i="11"/>
  <c r="AA39" i="11"/>
  <c r="AA40" i="11"/>
  <c r="AA41" i="11"/>
  <c r="AA42" i="11"/>
  <c r="AA43" i="11"/>
  <c r="AA44" i="11"/>
  <c r="AA45" i="11"/>
  <c r="AA46" i="11"/>
  <c r="AA47" i="11"/>
  <c r="W13" i="16"/>
  <c r="W14" i="16"/>
  <c r="W15" i="16"/>
  <c r="W16" i="16"/>
  <c r="X13" i="16"/>
  <c r="X14" i="16"/>
  <c r="X15" i="16"/>
  <c r="X16" i="16"/>
  <c r="Z13" i="16"/>
  <c r="AA13" i="16" s="1"/>
  <c r="AF13" i="16" s="1"/>
  <c r="Z14" i="16"/>
  <c r="Y14" i="16" s="1"/>
  <c r="Z15" i="16"/>
  <c r="Y15" i="16" s="1"/>
  <c r="Z16" i="16"/>
  <c r="AR16" i="16" s="1"/>
  <c r="AT16" i="16" s="1"/>
  <c r="AU16" i="16" s="1"/>
  <c r="AA14" i="16"/>
  <c r="AF14" i="16" s="1"/>
  <c r="AA15" i="16"/>
  <c r="AA16" i="16"/>
  <c r="AB13" i="16"/>
  <c r="AB14" i="16"/>
  <c r="AD14" i="16" s="1"/>
  <c r="AB15" i="16"/>
  <c r="AD15" i="16" s="1"/>
  <c r="AB16" i="16"/>
  <c r="AC13" i="16"/>
  <c r="AC14" i="16"/>
  <c r="AC15" i="16"/>
  <c r="AC16" i="16"/>
  <c r="AE13" i="16"/>
  <c r="AE14" i="16"/>
  <c r="AE15" i="16"/>
  <c r="AE16" i="16"/>
  <c r="AF15" i="16"/>
  <c r="AW15" i="16" s="1"/>
  <c r="AF16" i="16"/>
  <c r="AH13" i="16"/>
  <c r="AH14" i="16"/>
  <c r="AH15" i="16"/>
  <c r="AH16" i="16"/>
  <c r="AM13" i="16"/>
  <c r="AM14" i="16"/>
  <c r="AM15" i="16"/>
  <c r="AM16" i="16"/>
  <c r="AN13" i="16"/>
  <c r="AN14" i="16"/>
  <c r="AN15" i="16"/>
  <c r="AN16" i="16"/>
  <c r="AR14" i="16"/>
  <c r="AT14" i="16" s="1"/>
  <c r="AU14" i="16" s="1"/>
  <c r="AR15" i="16"/>
  <c r="AS14" i="16"/>
  <c r="AV14" i="16" s="1"/>
  <c r="AS15" i="16"/>
  <c r="AV15" i="16" s="1"/>
  <c r="AS16" i="16"/>
  <c r="AV16" i="16" s="1"/>
  <c r="AT15" i="16"/>
  <c r="AU15" i="16" s="1"/>
  <c r="Y15" i="11"/>
  <c r="Y16" i="11"/>
  <c r="Y17" i="11"/>
  <c r="Y18" i="11"/>
  <c r="Y19" i="11"/>
  <c r="Y20" i="11"/>
  <c r="Z15" i="11"/>
  <c r="Z16" i="11"/>
  <c r="Z17" i="11"/>
  <c r="Z18" i="11"/>
  <c r="AF18" i="11" s="1"/>
  <c r="Z19" i="11"/>
  <c r="Z20" i="11"/>
  <c r="AB17" i="11"/>
  <c r="AE15" i="11"/>
  <c r="AE16" i="11"/>
  <c r="AE17" i="11"/>
  <c r="AE18" i="11"/>
  <c r="AE19" i="11"/>
  <c r="AE20" i="11"/>
  <c r="AH15" i="11"/>
  <c r="AH16" i="11"/>
  <c r="AH17" i="11"/>
  <c r="AH18" i="11"/>
  <c r="AH19" i="11"/>
  <c r="AH20" i="11"/>
  <c r="AK15" i="11"/>
  <c r="AK16" i="11"/>
  <c r="AK17" i="11"/>
  <c r="AK18" i="11"/>
  <c r="AK19" i="11"/>
  <c r="AK20" i="11"/>
  <c r="AP15" i="11"/>
  <c r="AP16" i="11"/>
  <c r="AP17" i="11"/>
  <c r="AP18" i="11"/>
  <c r="AP19" i="11"/>
  <c r="AP20" i="11"/>
  <c r="AQ15" i="11"/>
  <c r="AQ16" i="11"/>
  <c r="AQ17" i="11"/>
  <c r="AQ18" i="11"/>
  <c r="AQ19" i="11"/>
  <c r="AQ20" i="11"/>
  <c r="AU18" i="11"/>
  <c r="AW18" i="11" s="1"/>
  <c r="AU19" i="11"/>
  <c r="AW19" i="11" s="1"/>
  <c r="AF19" i="11" l="1"/>
  <c r="AG19" i="11" s="1"/>
  <c r="AM19" i="11" s="1"/>
  <c r="AB18" i="11"/>
  <c r="AU17" i="11"/>
  <c r="AW17" i="11" s="1"/>
  <c r="AF17" i="11"/>
  <c r="AX17" i="11" s="1"/>
  <c r="AB20" i="11"/>
  <c r="AF16" i="11"/>
  <c r="AX16" i="11" s="1"/>
  <c r="AF20" i="11"/>
  <c r="AI20" i="11" s="1"/>
  <c r="AJ20" i="11" s="1"/>
  <c r="AD17" i="11"/>
  <c r="AB19" i="11"/>
  <c r="AF15" i="11"/>
  <c r="AX15" i="11" s="1"/>
  <c r="AV17" i="11"/>
  <c r="AY17" i="11" s="1"/>
  <c r="AI19" i="11"/>
  <c r="AJ19" i="11" s="1"/>
  <c r="AU20" i="11"/>
  <c r="AW20" i="11" s="1"/>
  <c r="AI18" i="11"/>
  <c r="AJ18" i="11" s="1"/>
  <c r="AX18" i="11"/>
  <c r="AW16" i="16"/>
  <c r="AW14" i="16"/>
  <c r="AW13" i="16"/>
  <c r="AJ15" i="16"/>
  <c r="AI15" i="16"/>
  <c r="AJ14" i="16"/>
  <c r="AI14" i="16"/>
  <c r="AD16" i="16"/>
  <c r="AD13" i="16"/>
  <c r="AG16" i="16"/>
  <c r="Y16" i="16"/>
  <c r="AG15" i="16"/>
  <c r="AR13" i="16"/>
  <c r="AT13" i="16" s="1"/>
  <c r="AU13" i="16" s="1"/>
  <c r="AG14" i="16"/>
  <c r="AG13" i="16"/>
  <c r="Y13" i="16"/>
  <c r="AS13" i="16"/>
  <c r="AV13" i="16" s="1"/>
  <c r="AG16" i="11"/>
  <c r="AD16" i="11"/>
  <c r="AI16" i="11" s="1"/>
  <c r="AD15" i="11"/>
  <c r="AV16" i="11"/>
  <c r="AY16" i="11" s="1"/>
  <c r="AX19" i="11"/>
  <c r="AL19" i="11" s="1"/>
  <c r="AV15" i="11"/>
  <c r="AY15" i="11" s="1"/>
  <c r="AU15" i="11"/>
  <c r="AW15" i="11" s="1"/>
  <c r="AV20" i="11"/>
  <c r="AY20" i="11" s="1"/>
  <c r="AG18" i="11"/>
  <c r="AB16" i="11"/>
  <c r="AV19" i="11"/>
  <c r="AY19" i="11" s="1"/>
  <c r="AV18" i="11"/>
  <c r="AY18" i="11" s="1"/>
  <c r="AZ18" i="11" s="1"/>
  <c r="AG17" i="11" l="1"/>
  <c r="AM17" i="11" s="1"/>
  <c r="AI17" i="11"/>
  <c r="AZ17" i="11" s="1"/>
  <c r="AZ19" i="11"/>
  <c r="AG15" i="11"/>
  <c r="AM15" i="11" s="1"/>
  <c r="AI15" i="11"/>
  <c r="AZ15" i="11" s="1"/>
  <c r="AZ20" i="11"/>
  <c r="AX20" i="11"/>
  <c r="AZ16" i="11"/>
  <c r="AG20" i="11"/>
  <c r="AK14" i="16"/>
  <c r="AL14" i="16"/>
  <c r="AK15" i="16"/>
  <c r="AL15" i="16"/>
  <c r="AK13" i="16"/>
  <c r="AL13" i="16"/>
  <c r="AL16" i="16"/>
  <c r="AK16" i="16"/>
  <c r="AI13" i="16"/>
  <c r="AJ13" i="16"/>
  <c r="AO14" i="16"/>
  <c r="AJ16" i="16"/>
  <c r="AI16" i="16"/>
  <c r="AO16" i="16" s="1"/>
  <c r="AO15" i="16"/>
  <c r="AM16" i="11"/>
  <c r="AL16" i="11"/>
  <c r="AL17" i="11"/>
  <c r="AL18" i="11"/>
  <c r="AM18" i="11"/>
  <c r="AJ16" i="11"/>
  <c r="AJ17" i="11"/>
  <c r="AO18" i="11"/>
  <c r="AN18" i="11"/>
  <c r="AJ15" i="11"/>
  <c r="AO19" i="11"/>
  <c r="AN19" i="11"/>
  <c r="AO20" i="11"/>
  <c r="AN20" i="11"/>
  <c r="AL15" i="11" l="1"/>
  <c r="AL20" i="11"/>
  <c r="AM20" i="11"/>
  <c r="AO13" i="16"/>
  <c r="AO16" i="11"/>
  <c r="AN16" i="11"/>
  <c r="AO17" i="11"/>
  <c r="AN17" i="11"/>
  <c r="AN15" i="11"/>
  <c r="AO15" i="11"/>
  <c r="Y24" i="11" l="1"/>
  <c r="Y25" i="11"/>
  <c r="Y26" i="11"/>
  <c r="Y27" i="11"/>
  <c r="Y28" i="11"/>
  <c r="Y29" i="11"/>
  <c r="Z24" i="11"/>
  <c r="Z25" i="11"/>
  <c r="Z26" i="11"/>
  <c r="Z27" i="11"/>
  <c r="Z28" i="11"/>
  <c r="Z29" i="11"/>
  <c r="AB24" i="11"/>
  <c r="AB25" i="11"/>
  <c r="AD26" i="11"/>
  <c r="AD27" i="11"/>
  <c r="AD28" i="11"/>
  <c r="AU29" i="11"/>
  <c r="AW29" i="11" s="1"/>
  <c r="AE24" i="11"/>
  <c r="AE25" i="11"/>
  <c r="AE26" i="11"/>
  <c r="AE27" i="11"/>
  <c r="AE28" i="11"/>
  <c r="AE29" i="11"/>
  <c r="AH24" i="11"/>
  <c r="AH25" i="11"/>
  <c r="AH26" i="11"/>
  <c r="AH27" i="11"/>
  <c r="AH28" i="11"/>
  <c r="AH29" i="11"/>
  <c r="AK24" i="11"/>
  <c r="AK25" i="11"/>
  <c r="AK26" i="11"/>
  <c r="AK27" i="11"/>
  <c r="AK28" i="11"/>
  <c r="AK29" i="11"/>
  <c r="AP24" i="11"/>
  <c r="AP25" i="11"/>
  <c r="AP26" i="11"/>
  <c r="AP27" i="11"/>
  <c r="AP28" i="11"/>
  <c r="AP29" i="11"/>
  <c r="AQ24" i="11"/>
  <c r="AQ25" i="11"/>
  <c r="AQ26" i="11"/>
  <c r="AQ27" i="11"/>
  <c r="AQ28" i="11"/>
  <c r="AQ29" i="11"/>
  <c r="AV25" i="11"/>
  <c r="AY25" i="11" s="1"/>
  <c r="Z7" i="11"/>
  <c r="Z8" i="11"/>
  <c r="Z9" i="11"/>
  <c r="Z10" i="11"/>
  <c r="Z11" i="11"/>
  <c r="Z12" i="11"/>
  <c r="Z13" i="11"/>
  <c r="Z14" i="11"/>
  <c r="Z21" i="11"/>
  <c r="Z22" i="11"/>
  <c r="Z23" i="11"/>
  <c r="Z30" i="11"/>
  <c r="Z31" i="11"/>
  <c r="Z32" i="11"/>
  <c r="Z33" i="11"/>
  <c r="Z34" i="11"/>
  <c r="Z35" i="11"/>
  <c r="Z36" i="11"/>
  <c r="Z37" i="11"/>
  <c r="Z38" i="11"/>
  <c r="Z39" i="11"/>
  <c r="Z40" i="11"/>
  <c r="Z41" i="11"/>
  <c r="Z42" i="11"/>
  <c r="Z43" i="11"/>
  <c r="Z44" i="11"/>
  <c r="Z45" i="11"/>
  <c r="Z46" i="11"/>
  <c r="Z47" i="11"/>
  <c r="Z6" i="11"/>
  <c r="X6" i="16"/>
  <c r="X7" i="16"/>
  <c r="X8" i="16"/>
  <c r="X9" i="16"/>
  <c r="X10" i="16"/>
  <c r="X11" i="16"/>
  <c r="X12" i="16"/>
  <c r="X17" i="16"/>
  <c r="X18" i="16"/>
  <c r="X19" i="16"/>
  <c r="X20" i="16"/>
  <c r="X21" i="16"/>
  <c r="X22" i="16"/>
  <c r="X23" i="16"/>
  <c r="X24" i="16"/>
  <c r="X25" i="16"/>
  <c r="X26" i="16"/>
  <c r="X27" i="16"/>
  <c r="X28" i="16"/>
  <c r="X29"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AD25" i="11" l="1"/>
  <c r="AV24" i="11"/>
  <c r="AY24" i="11" s="1"/>
  <c r="AD24" i="11"/>
  <c r="AF28" i="11"/>
  <c r="AG28" i="11" s="1"/>
  <c r="AM28" i="11" s="1"/>
  <c r="AF27" i="11"/>
  <c r="AI27" i="11" s="1"/>
  <c r="AZ27" i="11" s="1"/>
  <c r="AV29" i="11"/>
  <c r="AY29" i="11" s="1"/>
  <c r="AU28" i="11"/>
  <c r="AW28" i="11" s="1"/>
  <c r="AB29" i="11"/>
  <c r="AF25" i="11"/>
  <c r="AU27" i="11"/>
  <c r="AW27" i="11" s="1"/>
  <c r="AB28" i="11"/>
  <c r="AF24" i="11"/>
  <c r="AU26" i="11"/>
  <c r="AW26" i="11" s="1"/>
  <c r="AB27" i="11"/>
  <c r="AV28" i="11"/>
  <c r="AY28" i="11" s="1"/>
  <c r="AV27" i="11"/>
  <c r="AY27" i="11" s="1"/>
  <c r="AU25" i="11"/>
  <c r="AW25" i="11" s="1"/>
  <c r="AD29" i="11"/>
  <c r="AB26" i="11"/>
  <c r="AU24" i="11"/>
  <c r="AW24" i="11" s="1"/>
  <c r="AF29" i="11"/>
  <c r="AF26" i="11"/>
  <c r="AI26" i="11" s="1"/>
  <c r="AV26" i="11"/>
  <c r="AY26" i="11" s="1"/>
  <c r="Y45" i="11"/>
  <c r="Y46" i="11"/>
  <c r="Y47" i="11"/>
  <c r="AF45" i="11"/>
  <c r="AV46" i="11"/>
  <c r="AY46" i="11" s="1"/>
  <c r="AE45" i="11"/>
  <c r="AE46" i="11"/>
  <c r="AE47" i="11"/>
  <c r="AH45" i="11"/>
  <c r="AH46" i="11"/>
  <c r="AH47" i="11"/>
  <c r="AK45" i="11"/>
  <c r="AK46" i="11"/>
  <c r="AK47" i="11"/>
  <c r="AP45" i="11"/>
  <c r="AP46" i="11"/>
  <c r="AP47" i="11"/>
  <c r="AQ45" i="11"/>
  <c r="AQ46" i="11"/>
  <c r="AQ47" i="11"/>
  <c r="Y40" i="11"/>
  <c r="Y41" i="11"/>
  <c r="Y42" i="11"/>
  <c r="Y43" i="11"/>
  <c r="Y44" i="11"/>
  <c r="AB40" i="11"/>
  <c r="AV41" i="11"/>
  <c r="AY41" i="11" s="1"/>
  <c r="AD43" i="11"/>
  <c r="AV44" i="11"/>
  <c r="AY44" i="11" s="1"/>
  <c r="AE40" i="11"/>
  <c r="AE41" i="11"/>
  <c r="AE42" i="11"/>
  <c r="AE43" i="11"/>
  <c r="AE44" i="11"/>
  <c r="AH40" i="11"/>
  <c r="AH41" i="11"/>
  <c r="AH42" i="11"/>
  <c r="AH43" i="11"/>
  <c r="AH44" i="11"/>
  <c r="AK40" i="11"/>
  <c r="AK41" i="11"/>
  <c r="AK42" i="11"/>
  <c r="AK43" i="11"/>
  <c r="AK44" i="11"/>
  <c r="AP40" i="11"/>
  <c r="AP41" i="11"/>
  <c r="AP42" i="11"/>
  <c r="AP43" i="11"/>
  <c r="AP44" i="11"/>
  <c r="AQ40" i="11"/>
  <c r="AQ41" i="11"/>
  <c r="AQ42" i="11"/>
  <c r="AQ43" i="11"/>
  <c r="AQ44" i="11"/>
  <c r="Y39" i="11"/>
  <c r="AE39" i="11"/>
  <c r="AH39" i="11"/>
  <c r="AK39" i="11"/>
  <c r="AP39" i="11"/>
  <c r="AQ39" i="11"/>
  <c r="Y11" i="11"/>
  <c r="Y12" i="11"/>
  <c r="Y13" i="11"/>
  <c r="Y14" i="11"/>
  <c r="Y21" i="11"/>
  <c r="Y22" i="11"/>
  <c r="Y23" i="11"/>
  <c r="Y30" i="11"/>
  <c r="Y31" i="11"/>
  <c r="Y32" i="11"/>
  <c r="Y33" i="11"/>
  <c r="Y34" i="11"/>
  <c r="Y35" i="11"/>
  <c r="Y36" i="11"/>
  <c r="Y37" i="11"/>
  <c r="Y38" i="11"/>
  <c r="AE11" i="11"/>
  <c r="AE12" i="11"/>
  <c r="AE13" i="11"/>
  <c r="AE14" i="11"/>
  <c r="AE21" i="11"/>
  <c r="AE22" i="11"/>
  <c r="AE23" i="11"/>
  <c r="AE30" i="11"/>
  <c r="AE31" i="11"/>
  <c r="AE32" i="11"/>
  <c r="AE33" i="11"/>
  <c r="AE34" i="11"/>
  <c r="AE35" i="11"/>
  <c r="AE36" i="11"/>
  <c r="AE37" i="11"/>
  <c r="AE38" i="11"/>
  <c r="AH11" i="11"/>
  <c r="AH12" i="11"/>
  <c r="AH13" i="11"/>
  <c r="AH14" i="11"/>
  <c r="AH21" i="11"/>
  <c r="AH22" i="11"/>
  <c r="AH23" i="11"/>
  <c r="AH30" i="11"/>
  <c r="AH31" i="11"/>
  <c r="AH32" i="11"/>
  <c r="AH33" i="11"/>
  <c r="AH34" i="11"/>
  <c r="AH35" i="11"/>
  <c r="AH36" i="11"/>
  <c r="AH37" i="11"/>
  <c r="AH38" i="11"/>
  <c r="AK11" i="11"/>
  <c r="AK12" i="11"/>
  <c r="AK13" i="11"/>
  <c r="AK14" i="11"/>
  <c r="AK21" i="11"/>
  <c r="AK22" i="11"/>
  <c r="AK23" i="11"/>
  <c r="AK30" i="11"/>
  <c r="AK31" i="11"/>
  <c r="AK32" i="11"/>
  <c r="AK33" i="11"/>
  <c r="AK34" i="11"/>
  <c r="AK35" i="11"/>
  <c r="AK36" i="11"/>
  <c r="AK37" i="11"/>
  <c r="AK38" i="11"/>
  <c r="AP11" i="11"/>
  <c r="AP12" i="11"/>
  <c r="AP13" i="11"/>
  <c r="AP14" i="11"/>
  <c r="AP21" i="11"/>
  <c r="AP22" i="11"/>
  <c r="AP23" i="11"/>
  <c r="AP30" i="11"/>
  <c r="AP31" i="11"/>
  <c r="AP32" i="11"/>
  <c r="AP33" i="11"/>
  <c r="AP34" i="11"/>
  <c r="AP35" i="11"/>
  <c r="AP36" i="11"/>
  <c r="AP37" i="11"/>
  <c r="AP38" i="11"/>
  <c r="AQ11" i="11"/>
  <c r="AQ12" i="11"/>
  <c r="AQ13" i="11"/>
  <c r="AQ14" i="11"/>
  <c r="AQ21" i="11"/>
  <c r="AQ22" i="11"/>
  <c r="AQ23" i="11"/>
  <c r="AQ30" i="11"/>
  <c r="AQ31" i="11"/>
  <c r="AQ32" i="11"/>
  <c r="AQ33" i="11"/>
  <c r="AQ34" i="11"/>
  <c r="AQ35" i="11"/>
  <c r="AQ36" i="11"/>
  <c r="AQ37" i="11"/>
  <c r="AQ38" i="11"/>
  <c r="AX24" i="11" l="1"/>
  <c r="AX28" i="11"/>
  <c r="AG27" i="11"/>
  <c r="AL27" i="11" s="1"/>
  <c r="AI28" i="11"/>
  <c r="AG24" i="11"/>
  <c r="AM24" i="11" s="1"/>
  <c r="AX27" i="11"/>
  <c r="AI24" i="11"/>
  <c r="AJ24" i="11" s="1"/>
  <c r="AO24" i="11" s="1"/>
  <c r="AX25" i="11"/>
  <c r="AJ27" i="11"/>
  <c r="AO27" i="11" s="1"/>
  <c r="AI25" i="11"/>
  <c r="AG25" i="11"/>
  <c r="AM25" i="11" s="1"/>
  <c r="AL28" i="11"/>
  <c r="AG29" i="11"/>
  <c r="AX29" i="11"/>
  <c r="AI29" i="11"/>
  <c r="AZ26" i="11"/>
  <c r="AJ26" i="11"/>
  <c r="AG26" i="11"/>
  <c r="AX26" i="11"/>
  <c r="AN27" i="11"/>
  <c r="AB47" i="11"/>
  <c r="AF42" i="11"/>
  <c r="AG42" i="11" s="1"/>
  <c r="AD46" i="11"/>
  <c r="AF46" i="11"/>
  <c r="AG46" i="11" s="1"/>
  <c r="AV45" i="11"/>
  <c r="AY45" i="11" s="1"/>
  <c r="AV40" i="11"/>
  <c r="AY40" i="11" s="1"/>
  <c r="AU46" i="11"/>
  <c r="AW46" i="11" s="1"/>
  <c r="AB46" i="11"/>
  <c r="AF40" i="11"/>
  <c r="AD47" i="11"/>
  <c r="AV47" i="11"/>
  <c r="AY47" i="11" s="1"/>
  <c r="AU47" i="11"/>
  <c r="AW47" i="11" s="1"/>
  <c r="AF47" i="11"/>
  <c r="AU41" i="11"/>
  <c r="AW41" i="11" s="1"/>
  <c r="AU40" i="11"/>
  <c r="AW40" i="11" s="1"/>
  <c r="AB41" i="11"/>
  <c r="AB45" i="11"/>
  <c r="AD40" i="11"/>
  <c r="AU45" i="11"/>
  <c r="AW45" i="11" s="1"/>
  <c r="AX45" i="11" s="1"/>
  <c r="AD45" i="11"/>
  <c r="AI45" i="11" s="1"/>
  <c r="AJ45" i="11" s="1"/>
  <c r="AF41" i="11"/>
  <c r="AG41" i="11" s="1"/>
  <c r="AM41" i="11" s="1"/>
  <c r="AG45" i="11"/>
  <c r="AV43" i="11"/>
  <c r="AY43" i="11" s="1"/>
  <c r="AU43" i="11"/>
  <c r="AW43" i="11" s="1"/>
  <c r="AD42" i="11"/>
  <c r="AB44" i="11"/>
  <c r="AU42" i="11"/>
  <c r="AW42" i="11" s="1"/>
  <c r="AF43" i="11"/>
  <c r="AG43" i="11" s="1"/>
  <c r="AD41" i="11"/>
  <c r="AB43" i="11"/>
  <c r="AV42" i="11"/>
  <c r="AY42" i="11" s="1"/>
  <c r="AD44" i="11"/>
  <c r="AU44" i="11"/>
  <c r="AW44" i="11" s="1"/>
  <c r="AF44" i="11"/>
  <c r="AB42" i="11"/>
  <c r="J4" i="19"/>
  <c r="K4" i="19"/>
  <c r="J5" i="19"/>
  <c r="K5" i="19"/>
  <c r="AL25" i="11" l="1"/>
  <c r="AL24" i="11"/>
  <c r="AM27" i="11"/>
  <c r="AJ28" i="11"/>
  <c r="AZ28" i="11"/>
  <c r="AZ24" i="11"/>
  <c r="AN24" i="11" s="1"/>
  <c r="AJ25" i="11"/>
  <c r="AZ25" i="11"/>
  <c r="AO26" i="11"/>
  <c r="AN26" i="11"/>
  <c r="AM29" i="11"/>
  <c r="AL29" i="11"/>
  <c r="AJ29" i="11"/>
  <c r="AZ29" i="11"/>
  <c r="AL26" i="11"/>
  <c r="AM26" i="11"/>
  <c r="AX42" i="11"/>
  <c r="AL42" i="11" s="1"/>
  <c r="AI42" i="11"/>
  <c r="AJ42" i="11" s="1"/>
  <c r="AO42" i="11" s="1"/>
  <c r="AI41" i="11"/>
  <c r="AJ41" i="11" s="1"/>
  <c r="AI40" i="11"/>
  <c r="AJ40" i="11" s="1"/>
  <c r="AI47" i="11"/>
  <c r="AJ47" i="11" s="1"/>
  <c r="AO47" i="11" s="1"/>
  <c r="AI43" i="11"/>
  <c r="AJ43" i="11" s="1"/>
  <c r="AI44" i="11"/>
  <c r="AJ44" i="11" s="1"/>
  <c r="AI46" i="11"/>
  <c r="AJ46" i="11" s="1"/>
  <c r="AZ45" i="11"/>
  <c r="AX46" i="11"/>
  <c r="AL46" i="11" s="1"/>
  <c r="AG40" i="11"/>
  <c r="AM40" i="11" s="1"/>
  <c r="AX40" i="11"/>
  <c r="AG47" i="11"/>
  <c r="AX47" i="11"/>
  <c r="AX41" i="11"/>
  <c r="AL41" i="11" s="1"/>
  <c r="AL45" i="11"/>
  <c r="AM45" i="11"/>
  <c r="AM46" i="11"/>
  <c r="AM43" i="11"/>
  <c r="AX43" i="11"/>
  <c r="AL43" i="11" s="1"/>
  <c r="AM42" i="11"/>
  <c r="AG44" i="11"/>
  <c r="AX44" i="11"/>
  <c r="Z6" i="16"/>
  <c r="AC6" i="16" s="1"/>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I5" i="19"/>
  <c r="H5" i="19"/>
  <c r="G5" i="19"/>
  <c r="F5" i="19"/>
  <c r="E5" i="19"/>
  <c r="D5" i="19"/>
  <c r="C5" i="19"/>
  <c r="B5" i="19"/>
  <c r="B4" i="20"/>
  <c r="C4" i="19"/>
  <c r="N4" i="19"/>
  <c r="AN6" i="16"/>
  <c r="AM6" i="16"/>
  <c r="Z7" i="16"/>
  <c r="AC7" i="16" s="1"/>
  <c r="Z8" i="16"/>
  <c r="AC8" i="16" s="1"/>
  <c r="Z9" i="16"/>
  <c r="AC9" i="16" s="1"/>
  <c r="Z10" i="16"/>
  <c r="AC10" i="16" s="1"/>
  <c r="Z11" i="16"/>
  <c r="AC11" i="16" s="1"/>
  <c r="Z12" i="16"/>
  <c r="AC12" i="16" s="1"/>
  <c r="Z17" i="16"/>
  <c r="AC17" i="16" s="1"/>
  <c r="Z18" i="16"/>
  <c r="AC18" i="16" s="1"/>
  <c r="Z19" i="16"/>
  <c r="AC19" i="16" s="1"/>
  <c r="Z20" i="16"/>
  <c r="AC20" i="16" s="1"/>
  <c r="Z21" i="16"/>
  <c r="AC21" i="16" s="1"/>
  <c r="Z22" i="16"/>
  <c r="AC22" i="16" s="1"/>
  <c r="Z23" i="16"/>
  <c r="AC23" i="16" s="1"/>
  <c r="Z24" i="16"/>
  <c r="AC24" i="16" s="1"/>
  <c r="Z25" i="16"/>
  <c r="AC25" i="16" s="1"/>
  <c r="Z26" i="16"/>
  <c r="AC26" i="16" s="1"/>
  <c r="Z27" i="16"/>
  <c r="AC27" i="16" s="1"/>
  <c r="Z28" i="16"/>
  <c r="AC28" i="16" s="1"/>
  <c r="Z29" i="16"/>
  <c r="AC29" i="16" s="1"/>
  <c r="Z30" i="16"/>
  <c r="AC30" i="16" s="1"/>
  <c r="Z31" i="16"/>
  <c r="AC31" i="16" s="1"/>
  <c r="Z32" i="16"/>
  <c r="AC32" i="16" s="1"/>
  <c r="Z33" i="16"/>
  <c r="AC33" i="16" s="1"/>
  <c r="Z34" i="16"/>
  <c r="AC34" i="16" s="1"/>
  <c r="Z35" i="16"/>
  <c r="AC35" i="16" s="1"/>
  <c r="Z36" i="16"/>
  <c r="AC36" i="16" s="1"/>
  <c r="Z37" i="16"/>
  <c r="AC37" i="16" s="1"/>
  <c r="Z38" i="16"/>
  <c r="AC38" i="16" s="1"/>
  <c r="Z39" i="16"/>
  <c r="AC39" i="16" s="1"/>
  <c r="Z40" i="16"/>
  <c r="AC40" i="16" s="1"/>
  <c r="Z41" i="16"/>
  <c r="AC41" i="16" s="1"/>
  <c r="Z42" i="16"/>
  <c r="AC42" i="16" s="1"/>
  <c r="Z43" i="16"/>
  <c r="AC43" i="16" s="1"/>
  <c r="Z44" i="16"/>
  <c r="AC44" i="16" s="1"/>
  <c r="Z45" i="16"/>
  <c r="AC45" i="16" s="1"/>
  <c r="Z46" i="16"/>
  <c r="AC46" i="16" s="1"/>
  <c r="Z47" i="16"/>
  <c r="AC47" i="16" s="1"/>
  <c r="Z48" i="16"/>
  <c r="AC48" i="16" s="1"/>
  <c r="Z49" i="16"/>
  <c r="AC49" i="16" s="1"/>
  <c r="Z50" i="16"/>
  <c r="AC50" i="16" s="1"/>
  <c r="Z51" i="16"/>
  <c r="AC51" i="16" s="1"/>
  <c r="Z52" i="16"/>
  <c r="AC52" i="16" s="1"/>
  <c r="Z53" i="16"/>
  <c r="AC53" i="16" s="1"/>
  <c r="Z54" i="16"/>
  <c r="AC54" i="16" s="1"/>
  <c r="Z55" i="16"/>
  <c r="AC55" i="16" s="1"/>
  <c r="Z56" i="16"/>
  <c r="AC56" i="16" s="1"/>
  <c r="Z57" i="16"/>
  <c r="AC57" i="16" s="1"/>
  <c r="Z58" i="16"/>
  <c r="AC58" i="16" s="1"/>
  <c r="Z59" i="16"/>
  <c r="AC59" i="16" s="1"/>
  <c r="Z60" i="16"/>
  <c r="AC60" i="16" s="1"/>
  <c r="Z61" i="16"/>
  <c r="AC61" i="16" s="1"/>
  <c r="Z62" i="16"/>
  <c r="AC62" i="16" s="1"/>
  <c r="Z63" i="16"/>
  <c r="AC63" i="16" s="1"/>
  <c r="Z64" i="16"/>
  <c r="AC64" i="16" s="1"/>
  <c r="Z65" i="16"/>
  <c r="AC65" i="16" s="1"/>
  <c r="Z66" i="16"/>
  <c r="AC66" i="16" s="1"/>
  <c r="Z67" i="16"/>
  <c r="AC67" i="16" s="1"/>
  <c r="Z68" i="16"/>
  <c r="AC68" i="16" s="1"/>
  <c r="Z69" i="16"/>
  <c r="AC69" i="16" s="1"/>
  <c r="Z70" i="16"/>
  <c r="AC70" i="16" s="1"/>
  <c r="Z71" i="16"/>
  <c r="AC71" i="16" s="1"/>
  <c r="Z72" i="16"/>
  <c r="AC72" i="16" s="1"/>
  <c r="Z73" i="16"/>
  <c r="AC73" i="16" s="1"/>
  <c r="Z74" i="16"/>
  <c r="AC74" i="16" s="1"/>
  <c r="Z75" i="16"/>
  <c r="AC75" i="16" s="1"/>
  <c r="Z76" i="16"/>
  <c r="AC76" i="16" s="1"/>
  <c r="Z77" i="16"/>
  <c r="AC77" i="16" s="1"/>
  <c r="Z78" i="16"/>
  <c r="AC78" i="16" s="1"/>
  <c r="Z79" i="16"/>
  <c r="AC79" i="16" s="1"/>
  <c r="AN28" i="11" l="1"/>
  <c r="AO28" i="11"/>
  <c r="AO25" i="11"/>
  <c r="AN25" i="11"/>
  <c r="AZ47" i="11"/>
  <c r="AN47" i="11" s="1"/>
  <c r="AO29" i="11"/>
  <c r="AN29" i="11"/>
  <c r="AZ44" i="11"/>
  <c r="AZ42" i="11"/>
  <c r="AN42" i="11" s="1"/>
  <c r="AZ41" i="11"/>
  <c r="AN41" i="11" s="1"/>
  <c r="AZ40" i="11"/>
  <c r="AN40" i="11" s="1"/>
  <c r="AZ46" i="11"/>
  <c r="AO46" i="11"/>
  <c r="AL40" i="11"/>
  <c r="AL47" i="11"/>
  <c r="AM47" i="11"/>
  <c r="AN45" i="11"/>
  <c r="AO45" i="11"/>
  <c r="AZ43" i="11"/>
  <c r="AL44" i="11"/>
  <c r="AM44" i="11"/>
  <c r="AO40" i="11"/>
  <c r="AO44" i="11"/>
  <c r="AN44" i="11"/>
  <c r="AA6" i="16"/>
  <c r="Y6" i="16"/>
  <c r="AA79" i="16"/>
  <c r="AS7" i="16"/>
  <c r="AS8" i="16"/>
  <c r="AS9" i="16"/>
  <c r="AS10" i="16"/>
  <c r="AS11" i="16"/>
  <c r="AS12" i="16"/>
  <c r="AS17" i="16"/>
  <c r="AS18" i="16"/>
  <c r="AS19" i="16"/>
  <c r="AS20" i="16"/>
  <c r="AS21" i="16"/>
  <c r="AS22" i="16"/>
  <c r="AS23" i="16"/>
  <c r="AS24" i="16"/>
  <c r="AS25" i="16"/>
  <c r="AS26" i="16"/>
  <c r="AS27" i="16"/>
  <c r="AS28" i="16"/>
  <c r="AS29" i="16"/>
  <c r="AS30" i="16"/>
  <c r="AS31" i="16"/>
  <c r="AS32" i="16"/>
  <c r="AS33" i="16"/>
  <c r="AS34" i="16"/>
  <c r="AV34" i="16" s="1"/>
  <c r="AS35" i="16"/>
  <c r="AV35" i="16" s="1"/>
  <c r="AS36" i="16"/>
  <c r="AS37" i="16"/>
  <c r="AS38" i="16"/>
  <c r="AS39" i="16"/>
  <c r="AS40" i="16"/>
  <c r="AS41" i="16"/>
  <c r="AS42" i="16"/>
  <c r="AS43" i="16"/>
  <c r="AV43" i="16" s="1"/>
  <c r="AS44" i="16"/>
  <c r="AV44" i="16" s="1"/>
  <c r="AS45" i="16"/>
  <c r="AV45" i="16" s="1"/>
  <c r="AS46" i="16"/>
  <c r="AS47" i="16"/>
  <c r="AS48" i="16"/>
  <c r="AS49" i="16"/>
  <c r="AS50" i="16"/>
  <c r="AV50" i="16" s="1"/>
  <c r="AS51" i="16"/>
  <c r="AV51" i="16" s="1"/>
  <c r="AS52" i="16"/>
  <c r="AV52" i="16" s="1"/>
  <c r="AS53" i="16"/>
  <c r="AV53" i="16" s="1"/>
  <c r="AS54" i="16"/>
  <c r="AV54" i="16" s="1"/>
  <c r="AS55" i="16"/>
  <c r="AS56" i="16"/>
  <c r="AS57" i="16"/>
  <c r="AS58" i="16"/>
  <c r="AS59" i="16"/>
  <c r="AV59" i="16" s="1"/>
  <c r="AS60" i="16"/>
  <c r="AV60" i="16" s="1"/>
  <c r="AS61" i="16"/>
  <c r="AV61" i="16" s="1"/>
  <c r="AS62" i="16"/>
  <c r="AV62" i="16" s="1"/>
  <c r="AS63" i="16"/>
  <c r="AS64" i="16"/>
  <c r="AS65" i="16"/>
  <c r="AS66" i="16"/>
  <c r="AV66" i="16" s="1"/>
  <c r="AS67" i="16"/>
  <c r="AV67" i="16" s="1"/>
  <c r="AS68" i="16"/>
  <c r="AV68" i="16" s="1"/>
  <c r="AS69" i="16"/>
  <c r="AV69" i="16" s="1"/>
  <c r="AS70" i="16"/>
  <c r="AV70" i="16" s="1"/>
  <c r="AS71" i="16"/>
  <c r="AS72" i="16"/>
  <c r="AS73" i="16"/>
  <c r="AS74" i="16"/>
  <c r="AS75" i="16"/>
  <c r="AV75" i="16" s="1"/>
  <c r="AS76" i="16"/>
  <c r="AV76" i="16" s="1"/>
  <c r="AS77" i="16"/>
  <c r="AV77" i="16" s="1"/>
  <c r="AS78" i="16"/>
  <c r="AV78" i="16" s="1"/>
  <c r="AR7" i="16"/>
  <c r="AR8" i="16"/>
  <c r="AR9" i="16"/>
  <c r="AR10" i="16"/>
  <c r="AR11" i="16"/>
  <c r="AR12" i="16"/>
  <c r="AR17" i="16"/>
  <c r="AR18" i="16"/>
  <c r="AR19" i="16"/>
  <c r="AR20" i="16"/>
  <c r="AR21" i="16"/>
  <c r="AR22" i="16"/>
  <c r="AR23" i="16"/>
  <c r="AR24" i="16"/>
  <c r="AR25" i="16"/>
  <c r="AR26" i="16"/>
  <c r="AR27" i="16"/>
  <c r="AR28" i="16"/>
  <c r="AR29" i="16"/>
  <c r="AR30" i="16"/>
  <c r="AR31" i="16"/>
  <c r="AR32" i="16"/>
  <c r="AR33" i="16"/>
  <c r="AR34" i="16"/>
  <c r="AT34" i="16" s="1"/>
  <c r="AR35" i="16"/>
  <c r="AR36" i="16"/>
  <c r="AR37" i="16"/>
  <c r="AR38" i="16"/>
  <c r="AT38" i="16" s="1"/>
  <c r="AR39" i="16"/>
  <c r="AR40" i="16"/>
  <c r="AT40" i="16" s="1"/>
  <c r="AR41" i="16"/>
  <c r="AR42" i="16"/>
  <c r="AR43" i="16"/>
  <c r="AR44" i="16"/>
  <c r="AR45" i="16"/>
  <c r="AR46" i="16"/>
  <c r="AR47" i="16"/>
  <c r="AR48" i="16"/>
  <c r="AR49" i="16"/>
  <c r="AR50" i="16"/>
  <c r="AR51" i="16"/>
  <c r="AR52" i="16"/>
  <c r="AR53" i="16"/>
  <c r="AR54" i="16"/>
  <c r="AR55" i="16"/>
  <c r="AR56" i="16"/>
  <c r="AR57" i="16"/>
  <c r="AR58" i="16"/>
  <c r="AR59" i="16"/>
  <c r="AR60" i="16"/>
  <c r="AR61" i="16"/>
  <c r="AR62" i="16"/>
  <c r="AT62" i="16" s="1"/>
  <c r="AR63" i="16"/>
  <c r="AR64" i="16"/>
  <c r="AT64" i="16" s="1"/>
  <c r="AR65" i="16"/>
  <c r="AR66" i="16"/>
  <c r="AR67" i="16"/>
  <c r="AR68" i="16"/>
  <c r="AR69" i="16"/>
  <c r="AR70" i="16"/>
  <c r="AT70" i="16" s="1"/>
  <c r="AR71" i="16"/>
  <c r="AR72" i="16"/>
  <c r="AR73" i="16"/>
  <c r="AR74" i="16"/>
  <c r="AR75" i="16"/>
  <c r="AR76" i="16"/>
  <c r="AR77" i="16"/>
  <c r="AR78" i="16"/>
  <c r="AA7" i="16"/>
  <c r="AA8" i="16"/>
  <c r="AA9" i="16"/>
  <c r="AA10" i="16"/>
  <c r="AA11" i="16"/>
  <c r="AA12"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Y26" i="16"/>
  <c r="Y41" i="16"/>
  <c r="Y42" i="16"/>
  <c r="Y43" i="16"/>
  <c r="Y59" i="16"/>
  <c r="Y67" i="16"/>
  <c r="Y73" i="16"/>
  <c r="Y77" i="16"/>
  <c r="Y17" i="16"/>
  <c r="Y25" i="16"/>
  <c r="Y65" i="16"/>
  <c r="Y48" i="16"/>
  <c r="Y64" i="16"/>
  <c r="W76" i="16"/>
  <c r="W77" i="16"/>
  <c r="W78" i="16"/>
  <c r="W79" i="16"/>
  <c r="Y76" i="16"/>
  <c r="Y78" i="16"/>
  <c r="AB76" i="16"/>
  <c r="AB77" i="16"/>
  <c r="AB78" i="16"/>
  <c r="AB79" i="16"/>
  <c r="AE76" i="16"/>
  <c r="AE77" i="16"/>
  <c r="AE78" i="16"/>
  <c r="AE79" i="16"/>
  <c r="AH76" i="16"/>
  <c r="AH77" i="16"/>
  <c r="AH78" i="16"/>
  <c r="AH79" i="16"/>
  <c r="AM76" i="16"/>
  <c r="AM77" i="16"/>
  <c r="AM78" i="16"/>
  <c r="AM79" i="16"/>
  <c r="AN76" i="16"/>
  <c r="AN77" i="16"/>
  <c r="AN78" i="16"/>
  <c r="AN79" i="16"/>
  <c r="T3" i="20"/>
  <c r="T4" i="20"/>
  <c r="N3" i="20"/>
  <c r="O3" i="20"/>
  <c r="P3" i="20"/>
  <c r="Q3" i="20"/>
  <c r="R3" i="20"/>
  <c r="S3" i="20"/>
  <c r="N4" i="20"/>
  <c r="O4" i="20"/>
  <c r="P4" i="20"/>
  <c r="Q4" i="20"/>
  <c r="R4" i="20"/>
  <c r="S4" i="20"/>
  <c r="Y18" i="16"/>
  <c r="Y31" i="16"/>
  <c r="Y34" i="16"/>
  <c r="Y39" i="16"/>
  <c r="Y47" i="16"/>
  <c r="Y50" i="16"/>
  <c r="Y51" i="16"/>
  <c r="Y55" i="16"/>
  <c r="Y58" i="16"/>
  <c r="Y63" i="16"/>
  <c r="Y66" i="16"/>
  <c r="Y71" i="16"/>
  <c r="Y74" i="16"/>
  <c r="W33" i="16"/>
  <c r="W34" i="16"/>
  <c r="W35" i="16"/>
  <c r="W36" i="16"/>
  <c r="W37" i="16"/>
  <c r="W38" i="16"/>
  <c r="W39" i="16"/>
  <c r="W40" i="16"/>
  <c r="W41" i="16"/>
  <c r="W42" i="16"/>
  <c r="W43" i="16"/>
  <c r="W44" i="16"/>
  <c r="W45" i="16"/>
  <c r="W46" i="16"/>
  <c r="W47" i="16"/>
  <c r="W48" i="16"/>
  <c r="W49" i="16"/>
  <c r="W50" i="16"/>
  <c r="W51" i="16"/>
  <c r="W52" i="16"/>
  <c r="W53" i="16"/>
  <c r="W54" i="16"/>
  <c r="W55" i="16"/>
  <c r="W56" i="16"/>
  <c r="W57" i="16"/>
  <c r="W58" i="16"/>
  <c r="W59" i="16"/>
  <c r="W60" i="16"/>
  <c r="W61" i="16"/>
  <c r="W62" i="16"/>
  <c r="W63" i="16"/>
  <c r="W64" i="16"/>
  <c r="W65" i="16"/>
  <c r="W66" i="16"/>
  <c r="W67" i="16"/>
  <c r="W68" i="16"/>
  <c r="W69" i="16"/>
  <c r="W70" i="16"/>
  <c r="W71" i="16"/>
  <c r="W72" i="16"/>
  <c r="W73" i="16"/>
  <c r="W74" i="16"/>
  <c r="W75" i="16"/>
  <c r="AB33" i="16"/>
  <c r="AB34" i="16"/>
  <c r="AB35" i="16"/>
  <c r="AB36" i="16"/>
  <c r="AD36" i="16" s="1"/>
  <c r="AB37" i="16"/>
  <c r="AB38" i="16"/>
  <c r="AB39" i="16"/>
  <c r="AB40" i="16"/>
  <c r="AD40" i="16" s="1"/>
  <c r="AB41" i="16"/>
  <c r="AB42" i="16"/>
  <c r="AB43" i="16"/>
  <c r="AB44" i="16"/>
  <c r="AD44" i="16" s="1"/>
  <c r="AB45" i="16"/>
  <c r="AB46" i="16"/>
  <c r="AB47" i="16"/>
  <c r="AB48" i="16"/>
  <c r="AB49" i="16"/>
  <c r="AB50" i="16"/>
  <c r="AB51" i="16"/>
  <c r="AB52" i="16"/>
  <c r="AD52" i="16" s="1"/>
  <c r="AB53" i="16"/>
  <c r="AB54" i="16"/>
  <c r="AB55" i="16"/>
  <c r="AB56" i="16"/>
  <c r="AD56" i="16" s="1"/>
  <c r="AB57" i="16"/>
  <c r="AD57" i="16" s="1"/>
  <c r="AB58" i="16"/>
  <c r="AB59" i="16"/>
  <c r="AB60" i="16"/>
  <c r="AD60" i="16" s="1"/>
  <c r="AB61" i="16"/>
  <c r="AD61" i="16" s="1"/>
  <c r="AB62" i="16"/>
  <c r="AB63" i="16"/>
  <c r="AB64" i="16"/>
  <c r="AB65" i="16"/>
  <c r="AB66" i="16"/>
  <c r="AB67" i="16"/>
  <c r="AB68" i="16"/>
  <c r="AD68" i="16" s="1"/>
  <c r="AB69" i="16"/>
  <c r="AB70" i="16"/>
  <c r="AB71" i="16"/>
  <c r="AB72" i="16"/>
  <c r="AD72" i="16" s="1"/>
  <c r="AB73" i="16"/>
  <c r="AB74" i="16"/>
  <c r="AB75"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2" i="16"/>
  <c r="AE73" i="16"/>
  <c r="AE74" i="16"/>
  <c r="AE75"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2" i="16"/>
  <c r="AH73" i="16"/>
  <c r="AH74" i="16"/>
  <c r="AH75"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2" i="16"/>
  <c r="AM73" i="16"/>
  <c r="AM74" i="16"/>
  <c r="AM75"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2" i="16"/>
  <c r="AN73" i="16"/>
  <c r="AN74" i="16"/>
  <c r="AN75" i="16"/>
  <c r="I3" i="20"/>
  <c r="I4" i="20"/>
  <c r="B3" i="20"/>
  <c r="J3" i="20"/>
  <c r="J4" i="20"/>
  <c r="AN46" i="11" l="1"/>
  <c r="AO41" i="11"/>
  <c r="AN43" i="11"/>
  <c r="AO43" i="11"/>
  <c r="AF53" i="16"/>
  <c r="AG53" i="16" s="1"/>
  <c r="AF9" i="16"/>
  <c r="AF45" i="16"/>
  <c r="AG45" i="16" s="1"/>
  <c r="AF37" i="16"/>
  <c r="AG37" i="16" s="1"/>
  <c r="AL37" i="16" s="1"/>
  <c r="AF69" i="16"/>
  <c r="AG69" i="16" s="1"/>
  <c r="AL69" i="16" s="1"/>
  <c r="AF29" i="16"/>
  <c r="AF30" i="16"/>
  <c r="AV64" i="16"/>
  <c r="AV56" i="16"/>
  <c r="AV40" i="16"/>
  <c r="AF46" i="16"/>
  <c r="AG46" i="16" s="1"/>
  <c r="AL46" i="16" s="1"/>
  <c r="AF32" i="16"/>
  <c r="AF33" i="16"/>
  <c r="AG33" i="16" s="1"/>
  <c r="AF49" i="16"/>
  <c r="AG49" i="16" s="1"/>
  <c r="AF54" i="16"/>
  <c r="AG54" i="16" s="1"/>
  <c r="AL54" i="16" s="1"/>
  <c r="AF10" i="16"/>
  <c r="AF23" i="16"/>
  <c r="AF22" i="16"/>
  <c r="AF40" i="16"/>
  <c r="AG40" i="16" s="1"/>
  <c r="AD45" i="16"/>
  <c r="AF12" i="16"/>
  <c r="AF11" i="16"/>
  <c r="AS6" i="16"/>
  <c r="AR6" i="16"/>
  <c r="AF72" i="16"/>
  <c r="AG72" i="16" s="1"/>
  <c r="AL72" i="16" s="1"/>
  <c r="AF56" i="16"/>
  <c r="AG56" i="16" s="1"/>
  <c r="AL56" i="16" s="1"/>
  <c r="AD69" i="16"/>
  <c r="AF24" i="16"/>
  <c r="AD53" i="16"/>
  <c r="AD37" i="16"/>
  <c r="AF61" i="16"/>
  <c r="AG61" i="16" s="1"/>
  <c r="AL61" i="16" s="1"/>
  <c r="AF21" i="16"/>
  <c r="AF68" i="16"/>
  <c r="AG68" i="16" s="1"/>
  <c r="AL68" i="16" s="1"/>
  <c r="AF60" i="16"/>
  <c r="AG60" i="16" s="1"/>
  <c r="AF52" i="16"/>
  <c r="AG52" i="16" s="1"/>
  <c r="AL52" i="16" s="1"/>
  <c r="AF44" i="16"/>
  <c r="AG44" i="16" s="1"/>
  <c r="AL44" i="16" s="1"/>
  <c r="AF36" i="16"/>
  <c r="AG36" i="16" s="1"/>
  <c r="AL36" i="16" s="1"/>
  <c r="AF28" i="16"/>
  <c r="AF20" i="16"/>
  <c r="AF8" i="16"/>
  <c r="AD49" i="16"/>
  <c r="AJ49" i="16" s="1"/>
  <c r="AD33" i="16"/>
  <c r="AJ33" i="16" s="1"/>
  <c r="AF27" i="16"/>
  <c r="AF19" i="16"/>
  <c r="AF7" i="16"/>
  <c r="AD39" i="16"/>
  <c r="AJ39" i="16" s="1"/>
  <c r="AJ57" i="16"/>
  <c r="AF57" i="16"/>
  <c r="AG57" i="16" s="1"/>
  <c r="AD54" i="16"/>
  <c r="AJ54" i="16" s="1"/>
  <c r="AD46" i="16"/>
  <c r="AF39" i="16"/>
  <c r="AG39" i="16" s="1"/>
  <c r="Y79" i="16"/>
  <c r="AR79" i="16"/>
  <c r="AT79" i="16" s="1"/>
  <c r="AS79" i="16"/>
  <c r="AV79" i="16" s="1"/>
  <c r="AT75" i="16"/>
  <c r="AT35" i="16"/>
  <c r="AV72" i="16"/>
  <c r="AV48" i="16"/>
  <c r="Y35" i="16"/>
  <c r="AT48" i="16"/>
  <c r="AT49" i="16"/>
  <c r="AU49" i="16" s="1"/>
  <c r="AT41" i="16"/>
  <c r="Y40" i="16"/>
  <c r="AT78" i="16"/>
  <c r="AT73" i="16"/>
  <c r="AT72" i="16"/>
  <c r="AT71" i="16"/>
  <c r="AT66" i="16"/>
  <c r="AT65" i="16"/>
  <c r="AT59" i="16"/>
  <c r="Y57" i="16"/>
  <c r="AT57" i="16"/>
  <c r="AU57" i="16" s="1"/>
  <c r="AI57" i="16" s="1"/>
  <c r="AT56" i="16"/>
  <c r="AT50" i="16"/>
  <c r="AV46" i="16"/>
  <c r="Y56" i="16"/>
  <c r="Y49" i="16"/>
  <c r="AT76" i="16"/>
  <c r="Y72" i="16"/>
  <c r="AT58" i="16"/>
  <c r="AT51" i="16"/>
  <c r="AT42" i="16"/>
  <c r="Y33" i="16"/>
  <c r="AT33" i="16"/>
  <c r="AU33" i="16" s="1"/>
  <c r="Y32" i="16"/>
  <c r="AV36" i="16"/>
  <c r="AT36" i="16"/>
  <c r="AU36" i="16" s="1"/>
  <c r="AT43" i="16"/>
  <c r="AV38" i="16"/>
  <c r="AT67" i="16"/>
  <c r="AV37" i="16"/>
  <c r="AT54" i="16"/>
  <c r="AU54" i="16" s="1"/>
  <c r="AT77" i="16"/>
  <c r="AF79" i="16"/>
  <c r="AG79" i="16" s="1"/>
  <c r="AL79" i="16" s="1"/>
  <c r="Y70" i="16"/>
  <c r="Y62" i="16"/>
  <c r="Y54" i="16"/>
  <c r="Y46" i="16"/>
  <c r="Y38" i="16"/>
  <c r="Y30" i="16"/>
  <c r="AT46" i="16"/>
  <c r="Y69" i="16"/>
  <c r="Y61" i="16"/>
  <c r="Y53" i="16"/>
  <c r="Y45" i="16"/>
  <c r="Y37" i="16"/>
  <c r="Y23" i="16"/>
  <c r="Y68" i="16"/>
  <c r="Y60" i="16"/>
  <c r="Y52" i="16"/>
  <c r="Y44" i="16"/>
  <c r="Y36" i="16"/>
  <c r="Y7" i="16"/>
  <c r="Y75" i="16"/>
  <c r="Y24" i="16"/>
  <c r="Y22" i="16"/>
  <c r="Y12" i="16"/>
  <c r="Y11" i="16"/>
  <c r="Y10" i="16"/>
  <c r="Y29" i="16"/>
  <c r="Y21" i="16"/>
  <c r="Y9" i="16"/>
  <c r="Y28" i="16"/>
  <c r="Y20" i="16"/>
  <c r="Y8" i="16"/>
  <c r="Y27" i="16"/>
  <c r="Y19" i="16"/>
  <c r="AT63" i="16"/>
  <c r="AT39" i="16"/>
  <c r="AU39" i="16" s="1"/>
  <c r="AT55" i="16"/>
  <c r="AJ52" i="16"/>
  <c r="AJ36" i="16"/>
  <c r="AJ60" i="16"/>
  <c r="AT47" i="16"/>
  <c r="AV58" i="16"/>
  <c r="AT69" i="16"/>
  <c r="AU69" i="16" s="1"/>
  <c r="AT45" i="16"/>
  <c r="AU45" i="16" s="1"/>
  <c r="AV71" i="16"/>
  <c r="AV63" i="16"/>
  <c r="AV55" i="16"/>
  <c r="AV47" i="16"/>
  <c r="AV39" i="16"/>
  <c r="AT74" i="16"/>
  <c r="AV74" i="16"/>
  <c r="AV42" i="16"/>
  <c r="AT61" i="16"/>
  <c r="AU61" i="16" s="1"/>
  <c r="AT53" i="16"/>
  <c r="AU53" i="16" s="1"/>
  <c r="AT37" i="16"/>
  <c r="AU37" i="16" s="1"/>
  <c r="AV73" i="16"/>
  <c r="AV65" i="16"/>
  <c r="AV57" i="16"/>
  <c r="AV49" i="16"/>
  <c r="AV41" i="16"/>
  <c r="AV33" i="16"/>
  <c r="AT68" i="16"/>
  <c r="AU68" i="16" s="1"/>
  <c r="AT60" i="16"/>
  <c r="AU60" i="16" s="1"/>
  <c r="AT52" i="16"/>
  <c r="AU52" i="16" s="1"/>
  <c r="AI52" i="16" s="1"/>
  <c r="AT44" i="16"/>
  <c r="AU44" i="16" s="1"/>
  <c r="AW4" i="20"/>
  <c r="AV4" i="20"/>
  <c r="AU4" i="20"/>
  <c r="AT4" i="20"/>
  <c r="AS4" i="20"/>
  <c r="AR4" i="20"/>
  <c r="AQ4" i="20"/>
  <c r="AP4" i="20"/>
  <c r="AO4" i="20"/>
  <c r="AN4" i="20"/>
  <c r="AM4" i="20"/>
  <c r="AL4" i="20"/>
  <c r="AK4" i="20"/>
  <c r="AJ4" i="20"/>
  <c r="AI4" i="20"/>
  <c r="AH4" i="20"/>
  <c r="AG4" i="20"/>
  <c r="AF4" i="20"/>
  <c r="AE4" i="20"/>
  <c r="AD4" i="20"/>
  <c r="AC4" i="20"/>
  <c r="AB4" i="20"/>
  <c r="AA4" i="20"/>
  <c r="Z4" i="20"/>
  <c r="Y4" i="20"/>
  <c r="X4" i="20"/>
  <c r="W4" i="20"/>
  <c r="V4" i="20"/>
  <c r="U4" i="20"/>
  <c r="M4" i="20"/>
  <c r="L4" i="20"/>
  <c r="K4" i="20"/>
  <c r="H4" i="20"/>
  <c r="G4" i="20"/>
  <c r="F4" i="20"/>
  <c r="E4" i="20"/>
  <c r="D4" i="20"/>
  <c r="C4" i="20"/>
  <c r="AW3" i="20"/>
  <c r="AV3" i="20"/>
  <c r="AU3" i="20"/>
  <c r="AT3" i="20"/>
  <c r="AS3" i="20"/>
  <c r="AR3" i="20"/>
  <c r="AQ3" i="20"/>
  <c r="AP3" i="20"/>
  <c r="AO3" i="20"/>
  <c r="AN3" i="20"/>
  <c r="AM3" i="20"/>
  <c r="AL3" i="20"/>
  <c r="AK3" i="20"/>
  <c r="AJ3" i="20"/>
  <c r="AI3" i="20"/>
  <c r="AH3" i="20"/>
  <c r="AG3" i="20"/>
  <c r="AF3" i="20"/>
  <c r="AE3" i="20"/>
  <c r="AD3" i="20"/>
  <c r="AC3" i="20"/>
  <c r="AB3" i="20"/>
  <c r="AA3" i="20"/>
  <c r="Z3" i="20"/>
  <c r="Y3" i="20"/>
  <c r="X3" i="20"/>
  <c r="V3" i="20"/>
  <c r="U3" i="20"/>
  <c r="M3" i="20"/>
  <c r="K3" i="20"/>
  <c r="H3" i="20"/>
  <c r="G3" i="20"/>
  <c r="F3" i="20"/>
  <c r="E3" i="20"/>
  <c r="D3" i="20"/>
  <c r="C3" i="20"/>
  <c r="AW53" i="16" l="1"/>
  <c r="AW54" i="16"/>
  <c r="AK54" i="16" s="1"/>
  <c r="AW45" i="16"/>
  <c r="AK45" i="16" s="1"/>
  <c r="AW33" i="16"/>
  <c r="AK33" i="16" s="1"/>
  <c r="AW37" i="16"/>
  <c r="AK37" i="16" s="1"/>
  <c r="AW68" i="16"/>
  <c r="AK68" i="16" s="1"/>
  <c r="AI33" i="16"/>
  <c r="AW60" i="16"/>
  <c r="AW72" i="16"/>
  <c r="AK72" i="16" s="1"/>
  <c r="AW56" i="16"/>
  <c r="AK56" i="16" s="1"/>
  <c r="AW69" i="16"/>
  <c r="AK69" i="16" s="1"/>
  <c r="AW49" i="16"/>
  <c r="AK49" i="16" s="1"/>
  <c r="AW57" i="16"/>
  <c r="AK57" i="16" s="1"/>
  <c r="AW61" i="16"/>
  <c r="AK61" i="16" s="1"/>
  <c r="AW39" i="16"/>
  <c r="AK39" i="16" s="1"/>
  <c r="AI39" i="16"/>
  <c r="AW40" i="16"/>
  <c r="AW52" i="16"/>
  <c r="AK52" i="16" s="1"/>
  <c r="AO52" i="16" s="1"/>
  <c r="AW44" i="16"/>
  <c r="AK44" i="16" s="1"/>
  <c r="AF6" i="16"/>
  <c r="AW36" i="16"/>
  <c r="AK36" i="16" s="1"/>
  <c r="AD59" i="16"/>
  <c r="AJ59" i="16" s="1"/>
  <c r="AF59" i="16"/>
  <c r="AF34" i="16"/>
  <c r="AG34" i="16" s="1"/>
  <c r="AL34" i="16" s="1"/>
  <c r="AD34" i="16"/>
  <c r="AJ34" i="16" s="1"/>
  <c r="AF58" i="16"/>
  <c r="AG58" i="16" s="1"/>
  <c r="AL58" i="16" s="1"/>
  <c r="AD58" i="16"/>
  <c r="AJ58" i="16" s="1"/>
  <c r="AF41" i="16"/>
  <c r="AG41" i="16" s="1"/>
  <c r="AL41" i="16" s="1"/>
  <c r="AD41" i="16"/>
  <c r="AJ41" i="16" s="1"/>
  <c r="AF42" i="16"/>
  <c r="AG42" i="16" s="1"/>
  <c r="AL42" i="16" s="1"/>
  <c r="AD42" i="16"/>
  <c r="AJ42" i="16" s="1"/>
  <c r="AF71" i="16"/>
  <c r="AG71" i="16" s="1"/>
  <c r="AL71" i="16" s="1"/>
  <c r="AD71" i="16"/>
  <c r="AJ71" i="16" s="1"/>
  <c r="AF66" i="16"/>
  <c r="AD66" i="16"/>
  <c r="AJ66" i="16" s="1"/>
  <c r="AF64" i="16"/>
  <c r="AD64" i="16"/>
  <c r="AF74" i="16"/>
  <c r="AD74" i="16"/>
  <c r="AJ74" i="16" s="1"/>
  <c r="AF65" i="16"/>
  <c r="AG65" i="16" s="1"/>
  <c r="AD65" i="16"/>
  <c r="AJ65" i="16" s="1"/>
  <c r="AF63" i="16"/>
  <c r="AG63" i="16" s="1"/>
  <c r="AL63" i="16" s="1"/>
  <c r="AD63" i="16"/>
  <c r="AJ63" i="16" s="1"/>
  <c r="AD77" i="16"/>
  <c r="AJ77" i="16" s="1"/>
  <c r="AF77" i="16"/>
  <c r="AF48" i="16"/>
  <c r="AD48" i="16"/>
  <c r="AF17" i="16"/>
  <c r="AF31" i="16"/>
  <c r="AF25" i="16"/>
  <c r="AF47" i="16"/>
  <c r="AG47" i="16" s="1"/>
  <c r="AL47" i="16" s="1"/>
  <c r="AD47" i="16"/>
  <c r="AJ47" i="16" s="1"/>
  <c r="AF18" i="16"/>
  <c r="AD35" i="16"/>
  <c r="AJ35" i="16" s="1"/>
  <c r="AF35" i="16"/>
  <c r="AD43" i="16"/>
  <c r="AF43" i="16"/>
  <c r="AF26" i="16"/>
  <c r="AF55" i="16"/>
  <c r="AG55" i="16" s="1"/>
  <c r="AL55" i="16" s="1"/>
  <c r="AD55" i="16"/>
  <c r="AJ55" i="16" s="1"/>
  <c r="AF50" i="16"/>
  <c r="AD50" i="16"/>
  <c r="AJ50" i="16" s="1"/>
  <c r="AF73" i="16"/>
  <c r="AG73" i="16" s="1"/>
  <c r="AL73" i="16" s="1"/>
  <c r="AD73" i="16"/>
  <c r="AJ73" i="16" s="1"/>
  <c r="AF78" i="16"/>
  <c r="AD78" i="16"/>
  <c r="AJ78" i="16" s="1"/>
  <c r="AD67" i="16"/>
  <c r="AJ67" i="16" s="1"/>
  <c r="AF67" i="16"/>
  <c r="AD75" i="16"/>
  <c r="AJ75" i="16" s="1"/>
  <c r="AF75" i="16"/>
  <c r="AD76" i="16"/>
  <c r="AF76" i="16"/>
  <c r="AF38" i="16"/>
  <c r="AG38" i="16" s="1"/>
  <c r="AL38" i="16" s="1"/>
  <c r="AD38" i="16"/>
  <c r="AJ38" i="16" s="1"/>
  <c r="AF62" i="16"/>
  <c r="AD62" i="16"/>
  <c r="AF70" i="16"/>
  <c r="AG70" i="16" s="1"/>
  <c r="AL70" i="16" s="1"/>
  <c r="AD70" i="16"/>
  <c r="AJ70" i="16" s="1"/>
  <c r="AD51" i="16"/>
  <c r="AJ51" i="16" s="1"/>
  <c r="AF51" i="16"/>
  <c r="AD79" i="16"/>
  <c r="AJ79" i="16" s="1"/>
  <c r="AW79" i="16"/>
  <c r="AK79" i="16" s="1"/>
  <c r="AW46" i="16"/>
  <c r="AK46" i="16" s="1"/>
  <c r="AL53" i="16"/>
  <c r="AU77" i="16"/>
  <c r="AU34" i="16"/>
  <c r="AU47" i="16"/>
  <c r="AU74" i="16"/>
  <c r="AU70" i="16"/>
  <c r="AU41" i="16"/>
  <c r="AU63" i="16"/>
  <c r="AU50" i="16"/>
  <c r="AU73" i="16"/>
  <c r="AU55" i="16"/>
  <c r="AU78" i="16"/>
  <c r="AU75" i="16"/>
  <c r="AU66" i="16"/>
  <c r="AU43" i="16"/>
  <c r="AU76" i="16"/>
  <c r="AU67" i="16"/>
  <c r="AU59" i="16"/>
  <c r="AU62" i="16"/>
  <c r="AU58" i="16"/>
  <c r="AU42" i="16"/>
  <c r="AL40" i="16"/>
  <c r="AU35" i="16"/>
  <c r="AU38" i="16"/>
  <c r="AU51" i="16"/>
  <c r="AL45" i="16"/>
  <c r="AU79" i="16"/>
  <c r="AI49" i="16"/>
  <c r="AI54" i="16"/>
  <c r="AU71" i="16"/>
  <c r="AI36" i="16"/>
  <c r="AU65" i="16"/>
  <c r="AL60" i="16"/>
  <c r="AI44" i="16"/>
  <c r="AI60" i="16"/>
  <c r="AU46" i="16"/>
  <c r="AI46" i="16" s="1"/>
  <c r="AJ44" i="16"/>
  <c r="AJ46" i="16"/>
  <c r="AU40" i="16"/>
  <c r="AJ61" i="16"/>
  <c r="AI61" i="16"/>
  <c r="AL49" i="16"/>
  <c r="AU48" i="16"/>
  <c r="AJ69" i="16"/>
  <c r="AI69" i="16"/>
  <c r="AL57" i="16"/>
  <c r="AU56" i="16"/>
  <c r="AU64" i="16"/>
  <c r="AU72" i="16"/>
  <c r="AL39" i="16"/>
  <c r="AJ37" i="16"/>
  <c r="AI37" i="16"/>
  <c r="AJ45" i="16"/>
  <c r="AI45" i="16"/>
  <c r="AL33" i="16"/>
  <c r="AJ53" i="16"/>
  <c r="AI53" i="16"/>
  <c r="AI68" i="16"/>
  <c r="AJ68" i="16"/>
  <c r="AN32" i="16"/>
  <c r="AM32" i="16"/>
  <c r="AH32" i="16"/>
  <c r="AE32" i="16"/>
  <c r="AG32" i="16" s="1"/>
  <c r="AB32" i="16"/>
  <c r="AD32" i="16" s="1"/>
  <c r="AV32" i="16"/>
  <c r="AT32" i="16"/>
  <c r="W32" i="16"/>
  <c r="AN31" i="16"/>
  <c r="AM31" i="16"/>
  <c r="AH31" i="16"/>
  <c r="AE31" i="16"/>
  <c r="AB31" i="16"/>
  <c r="AD31" i="16" s="1"/>
  <c r="AV31" i="16"/>
  <c r="AT31" i="16"/>
  <c r="W31" i="16"/>
  <c r="AN30" i="16"/>
  <c r="AM30" i="16"/>
  <c r="AH30" i="16"/>
  <c r="AE30" i="16"/>
  <c r="AG30" i="16" s="1"/>
  <c r="AB30" i="16"/>
  <c r="AD30" i="16" s="1"/>
  <c r="W30" i="16"/>
  <c r="AN29" i="16"/>
  <c r="AM29" i="16"/>
  <c r="AH29" i="16"/>
  <c r="AE29" i="16"/>
  <c r="AG29" i="16" s="1"/>
  <c r="AB29" i="16"/>
  <c r="AD29" i="16" s="1"/>
  <c r="AV29" i="16"/>
  <c r="W29" i="16"/>
  <c r="AN28" i="16"/>
  <c r="AM28" i="16"/>
  <c r="AH28" i="16"/>
  <c r="AE28" i="16"/>
  <c r="AG28" i="16" s="1"/>
  <c r="AB28" i="16"/>
  <c r="AD28" i="16" s="1"/>
  <c r="AV28" i="16"/>
  <c r="AT28" i="16"/>
  <c r="W28" i="16"/>
  <c r="AN27" i="16"/>
  <c r="AM27" i="16"/>
  <c r="AH27" i="16"/>
  <c r="AE27" i="16"/>
  <c r="AG27" i="16" s="1"/>
  <c r="AB27" i="16"/>
  <c r="AD27" i="16" s="1"/>
  <c r="AV27" i="16"/>
  <c r="W27" i="16"/>
  <c r="AN26" i="16"/>
  <c r="AM26" i="16"/>
  <c r="AH26" i="16"/>
  <c r="AE26" i="16"/>
  <c r="AB26" i="16"/>
  <c r="AD26" i="16" s="1"/>
  <c r="AV26" i="16"/>
  <c r="AT26" i="16"/>
  <c r="W26" i="16"/>
  <c r="AN25" i="16"/>
  <c r="AM25" i="16"/>
  <c r="AH25" i="16"/>
  <c r="AE25" i="16"/>
  <c r="AB25" i="16"/>
  <c r="AD25" i="16" s="1"/>
  <c r="AV25" i="16"/>
  <c r="AT25" i="16"/>
  <c r="W25" i="16"/>
  <c r="AN24" i="16"/>
  <c r="AM24" i="16"/>
  <c r="AH24" i="16"/>
  <c r="AE24" i="16"/>
  <c r="AG24" i="16" s="1"/>
  <c r="AB24" i="16"/>
  <c r="AD24" i="16" s="1"/>
  <c r="AV24" i="16"/>
  <c r="AT24" i="16"/>
  <c r="W24" i="16"/>
  <c r="AN23" i="16"/>
  <c r="AM23" i="16"/>
  <c r="AH23" i="16"/>
  <c r="AE23" i="16"/>
  <c r="AG23" i="16" s="1"/>
  <c r="AB23" i="16"/>
  <c r="AD23" i="16" s="1"/>
  <c r="AV23" i="16"/>
  <c r="AT23" i="16"/>
  <c r="W23" i="16"/>
  <c r="AN22" i="16"/>
  <c r="AM22" i="16"/>
  <c r="AH22" i="16"/>
  <c r="AE22" i="16"/>
  <c r="AG22" i="16" s="1"/>
  <c r="AB22" i="16"/>
  <c r="AD22" i="16" s="1"/>
  <c r="W22" i="16"/>
  <c r="AN21" i="16"/>
  <c r="AM21" i="16"/>
  <c r="AH21" i="16"/>
  <c r="AE21" i="16"/>
  <c r="AG21" i="16" s="1"/>
  <c r="AB21" i="16"/>
  <c r="AD21" i="16" s="1"/>
  <c r="AV21" i="16"/>
  <c r="W21" i="16"/>
  <c r="AN20" i="16"/>
  <c r="AM20" i="16"/>
  <c r="AH20" i="16"/>
  <c r="AE20" i="16"/>
  <c r="AG20" i="16" s="1"/>
  <c r="AB20" i="16"/>
  <c r="AD20" i="16" s="1"/>
  <c r="AV20" i="16"/>
  <c r="AT20" i="16"/>
  <c r="W20" i="16"/>
  <c r="AN19" i="16"/>
  <c r="AM19" i="16"/>
  <c r="AH19" i="16"/>
  <c r="AE19" i="16"/>
  <c r="AG19" i="16" s="1"/>
  <c r="AB19" i="16"/>
  <c r="AD19" i="16" s="1"/>
  <c r="AV19" i="16"/>
  <c r="W19" i="16"/>
  <c r="AN18" i="16"/>
  <c r="AM18" i="16"/>
  <c r="AH18" i="16"/>
  <c r="AE18" i="16"/>
  <c r="AB18" i="16"/>
  <c r="AD18" i="16" s="1"/>
  <c r="AV18" i="16"/>
  <c r="AT18" i="16"/>
  <c r="W18" i="16"/>
  <c r="AN17" i="16"/>
  <c r="AM17" i="16"/>
  <c r="AH17" i="16"/>
  <c r="AE17" i="16"/>
  <c r="AB17" i="16"/>
  <c r="AD17" i="16" s="1"/>
  <c r="AV17" i="16"/>
  <c r="AT17" i="16"/>
  <c r="W17" i="16"/>
  <c r="AN12" i="16"/>
  <c r="AM12" i="16"/>
  <c r="AH12" i="16"/>
  <c r="AE12" i="16"/>
  <c r="AG12" i="16" s="1"/>
  <c r="AB12" i="16"/>
  <c r="AD12" i="16" s="1"/>
  <c r="AV12" i="16"/>
  <c r="AT12" i="16"/>
  <c r="W12" i="16"/>
  <c r="AN11" i="16"/>
  <c r="AM11" i="16"/>
  <c r="AH11" i="16"/>
  <c r="AE11" i="16"/>
  <c r="AG11" i="16" s="1"/>
  <c r="AB11" i="16"/>
  <c r="AD11" i="16" s="1"/>
  <c r="AV11" i="16"/>
  <c r="AT11" i="16"/>
  <c r="W11" i="16"/>
  <c r="AN10" i="16"/>
  <c r="AM10" i="16"/>
  <c r="AH10" i="16"/>
  <c r="AE10" i="16"/>
  <c r="AG10" i="16" s="1"/>
  <c r="AB10" i="16"/>
  <c r="AD10" i="16" s="1"/>
  <c r="W10" i="16"/>
  <c r="AN9" i="16"/>
  <c r="AM9" i="16"/>
  <c r="AH9" i="16"/>
  <c r="AE9" i="16"/>
  <c r="AG9" i="16" s="1"/>
  <c r="AB9" i="16"/>
  <c r="AD9" i="16" s="1"/>
  <c r="AV9" i="16"/>
  <c r="W9" i="16"/>
  <c r="AN8" i="16"/>
  <c r="AM8" i="16"/>
  <c r="AH8" i="16"/>
  <c r="AE8" i="16"/>
  <c r="AG8" i="16" s="1"/>
  <c r="AB8" i="16"/>
  <c r="AD8" i="16" s="1"/>
  <c r="AV8" i="16"/>
  <c r="AT8" i="16"/>
  <c r="W8" i="16"/>
  <c r="AN7" i="16"/>
  <c r="AM7" i="16"/>
  <c r="AH7" i="16"/>
  <c r="AE7" i="16"/>
  <c r="AG7" i="16" s="1"/>
  <c r="AB7" i="16"/>
  <c r="AD7" i="16" s="1"/>
  <c r="AV7" i="16"/>
  <c r="W7" i="16"/>
  <c r="AH6" i="16"/>
  <c r="AE6" i="16"/>
  <c r="AB6" i="16"/>
  <c r="AD6" i="16" s="1"/>
  <c r="W6" i="16"/>
  <c r="Y7" i="11"/>
  <c r="Y8" i="11"/>
  <c r="Y9" i="11"/>
  <c r="Y10" i="11"/>
  <c r="AQ6" i="11"/>
  <c r="AQ7" i="11"/>
  <c r="AQ8" i="11"/>
  <c r="AQ9" i="11"/>
  <c r="AQ10" i="11"/>
  <c r="AP6" i="11"/>
  <c r="AP7" i="11"/>
  <c r="AP8" i="11"/>
  <c r="AP9" i="11"/>
  <c r="AP10" i="11"/>
  <c r="AK7" i="11"/>
  <c r="AK8" i="11"/>
  <c r="AK9" i="11"/>
  <c r="AK10" i="11"/>
  <c r="AK6" i="11"/>
  <c r="Y6" i="11"/>
  <c r="AW4" i="19"/>
  <c r="AV4" i="19"/>
  <c r="AU4" i="19"/>
  <c r="AT4" i="19"/>
  <c r="AS4" i="19"/>
  <c r="AR4" i="19"/>
  <c r="AQ4" i="19"/>
  <c r="AP4" i="19"/>
  <c r="AO4" i="19"/>
  <c r="AN4" i="19"/>
  <c r="AM4" i="19"/>
  <c r="AL4" i="19"/>
  <c r="AK4" i="19"/>
  <c r="AJ4" i="19"/>
  <c r="AI4" i="19"/>
  <c r="AH4" i="19"/>
  <c r="AG4" i="19"/>
  <c r="AF4" i="19"/>
  <c r="AE4" i="19"/>
  <c r="AD4" i="19"/>
  <c r="AC4" i="19"/>
  <c r="AB4" i="19"/>
  <c r="AA4" i="19"/>
  <c r="Z4" i="19"/>
  <c r="Y4" i="19"/>
  <c r="X4" i="19"/>
  <c r="W4" i="19"/>
  <c r="V4" i="19"/>
  <c r="U4" i="19"/>
  <c r="T4" i="19"/>
  <c r="R4" i="19"/>
  <c r="Q4" i="19"/>
  <c r="P4" i="19"/>
  <c r="O4" i="19"/>
  <c r="M4" i="19"/>
  <c r="I4" i="19"/>
  <c r="H4" i="19"/>
  <c r="G4" i="19"/>
  <c r="F4" i="19"/>
  <c r="E4" i="19"/>
  <c r="D4" i="19"/>
  <c r="B4" i="19"/>
  <c r="AH7" i="11"/>
  <c r="AH8" i="11"/>
  <c r="AH9" i="11"/>
  <c r="AH10" i="11"/>
  <c r="AH6" i="11"/>
  <c r="AE6" i="11"/>
  <c r="AE7" i="11"/>
  <c r="AE8" i="11"/>
  <c r="AE9" i="11"/>
  <c r="AE10" i="11"/>
  <c r="AO54" i="16" l="1"/>
  <c r="AU32" i="11"/>
  <c r="AW32" i="11" s="1"/>
  <c r="AV37" i="11"/>
  <c r="AY37" i="11" s="1"/>
  <c r="AU35" i="11"/>
  <c r="AW35" i="11" s="1"/>
  <c r="AV30" i="11"/>
  <c r="AY30" i="11" s="1"/>
  <c r="AV23" i="11"/>
  <c r="AY23" i="11" s="1"/>
  <c r="AU7" i="11"/>
  <c r="AW7" i="11" s="1"/>
  <c r="AV32" i="11"/>
  <c r="AY32" i="11" s="1"/>
  <c r="AU30" i="11"/>
  <c r="AW30" i="11" s="1"/>
  <c r="AB36" i="11"/>
  <c r="AD22" i="11"/>
  <c r="AD12" i="11"/>
  <c r="AD35" i="11"/>
  <c r="AD32" i="11"/>
  <c r="AF38" i="11"/>
  <c r="AD39" i="11"/>
  <c r="AV14" i="11"/>
  <c r="AY14" i="11" s="1"/>
  <c r="AF30" i="11"/>
  <c r="AD21" i="11"/>
  <c r="AV31" i="11"/>
  <c r="AY31" i="11" s="1"/>
  <c r="AU13" i="11"/>
  <c r="AW13" i="11" s="1"/>
  <c r="AU31" i="11"/>
  <c r="AW31" i="11" s="1"/>
  <c r="AU6" i="11"/>
  <c r="AW6" i="11" s="1"/>
  <c r="AV21" i="11"/>
  <c r="AY21" i="11" s="1"/>
  <c r="AB39" i="11"/>
  <c r="AB22" i="11"/>
  <c r="AD14" i="11"/>
  <c r="AB37" i="11"/>
  <c r="AF35" i="11"/>
  <c r="AD13" i="11"/>
  <c r="AF36" i="11"/>
  <c r="AB30" i="11"/>
  <c r="AB21" i="11"/>
  <c r="AB14" i="11"/>
  <c r="AU36" i="11"/>
  <c r="AW36" i="11" s="1"/>
  <c r="AU23" i="11"/>
  <c r="AW23" i="11" s="1"/>
  <c r="AV9" i="11"/>
  <c r="AV6" i="11"/>
  <c r="AU21" i="11"/>
  <c r="AW21" i="11" s="1"/>
  <c r="AB38" i="11"/>
  <c r="AF22" i="11"/>
  <c r="AB31" i="11"/>
  <c r="AF37" i="11"/>
  <c r="AB34" i="11"/>
  <c r="AF32" i="11"/>
  <c r="AD36" i="11"/>
  <c r="AV36" i="11"/>
  <c r="AY36" i="11" s="1"/>
  <c r="AD31" i="11"/>
  <c r="AD38" i="11"/>
  <c r="AU12" i="11"/>
  <c r="AW12" i="11" s="1"/>
  <c r="AU11" i="11"/>
  <c r="AW11" i="11" s="1"/>
  <c r="AV22" i="11"/>
  <c r="AY22" i="11" s="1"/>
  <c r="AU38" i="11"/>
  <c r="AW38" i="11" s="1"/>
  <c r="AB32" i="11"/>
  <c r="AB33" i="11"/>
  <c r="AD37" i="11"/>
  <c r="AF34" i="11"/>
  <c r="AF13" i="11"/>
  <c r="AV39" i="11"/>
  <c r="AY39" i="11" s="1"/>
  <c r="AU34" i="11"/>
  <c r="AW34" i="11" s="1"/>
  <c r="AU33" i="11"/>
  <c r="AW33" i="11" s="1"/>
  <c r="AF33" i="11"/>
  <c r="AV12" i="11"/>
  <c r="AY12" i="11" s="1"/>
  <c r="AF39" i="11"/>
  <c r="AU9" i="11"/>
  <c r="AW9" i="11" s="1"/>
  <c r="AU37" i="11"/>
  <c r="AW37" i="11" s="1"/>
  <c r="AU10" i="11"/>
  <c r="AW10" i="11" s="1"/>
  <c r="AU22" i="11"/>
  <c r="AW22" i="11" s="1"/>
  <c r="AV34" i="11"/>
  <c r="AY34" i="11" s="1"/>
  <c r="AD33" i="11"/>
  <c r="AF31" i="11"/>
  <c r="AB23" i="11"/>
  <c r="AD34" i="11"/>
  <c r="AD11" i="11"/>
  <c r="AV8" i="11"/>
  <c r="AF23" i="11"/>
  <c r="AB35" i="11"/>
  <c r="AV11" i="11"/>
  <c r="AY11" i="11" s="1"/>
  <c r="AU14" i="11"/>
  <c r="AW14" i="11" s="1"/>
  <c r="AU39" i="11"/>
  <c r="AW39" i="11" s="1"/>
  <c r="AV33" i="11"/>
  <c r="AY33" i="11" s="1"/>
  <c r="AU8" i="11"/>
  <c r="AW8" i="11" s="1"/>
  <c r="AV13" i="11"/>
  <c r="AY13" i="11" s="1"/>
  <c r="AB13" i="11"/>
  <c r="AB11" i="11"/>
  <c r="AB12" i="11"/>
  <c r="AD23" i="11"/>
  <c r="AF21" i="11"/>
  <c r="AF11" i="11"/>
  <c r="AV10" i="11"/>
  <c r="AV38" i="11"/>
  <c r="AY38" i="11" s="1"/>
  <c r="AV35" i="11"/>
  <c r="AY35" i="11" s="1"/>
  <c r="AV7" i="11"/>
  <c r="AF12" i="11"/>
  <c r="AD30" i="11"/>
  <c r="AF14" i="11"/>
  <c r="AF6" i="11"/>
  <c r="AG6" i="11" s="1"/>
  <c r="AF7" i="11"/>
  <c r="AG7" i="11" s="1"/>
  <c r="AF8" i="11"/>
  <c r="AG8" i="11" s="1"/>
  <c r="AF9" i="11"/>
  <c r="AG9" i="11" s="1"/>
  <c r="AF10" i="11"/>
  <c r="AG10" i="11" s="1"/>
  <c r="AG17" i="16"/>
  <c r="AG6" i="16"/>
  <c r="AG18" i="16"/>
  <c r="AG26" i="16"/>
  <c r="AG25" i="16"/>
  <c r="AG31" i="16"/>
  <c r="AD6" i="11"/>
  <c r="AB8" i="11"/>
  <c r="AB6" i="11"/>
  <c r="AB10" i="11"/>
  <c r="AB9" i="11"/>
  <c r="AD9" i="11"/>
  <c r="AB7" i="11"/>
  <c r="AD7" i="11"/>
  <c r="AD10" i="11"/>
  <c r="AD8" i="11"/>
  <c r="AW71" i="16"/>
  <c r="AK71" i="16" s="1"/>
  <c r="AI58" i="16"/>
  <c r="AO69" i="16"/>
  <c r="AW70" i="16"/>
  <c r="AK70" i="16" s="1"/>
  <c r="AO33" i="16"/>
  <c r="AW58" i="16"/>
  <c r="AK58" i="16" s="1"/>
  <c r="AW41" i="16"/>
  <c r="AK41" i="16" s="1"/>
  <c r="AO46" i="16"/>
  <c r="AI73" i="16"/>
  <c r="AI77" i="16"/>
  <c r="AO39" i="16"/>
  <c r="AI74" i="16"/>
  <c r="AO68" i="16"/>
  <c r="AI66" i="16"/>
  <c r="AI59" i="16"/>
  <c r="AO57" i="16"/>
  <c r="AI38" i="16"/>
  <c r="AI67" i="16"/>
  <c r="AW47" i="16"/>
  <c r="AK47" i="16" s="1"/>
  <c r="AO61" i="16"/>
  <c r="AI71" i="16"/>
  <c r="AO45" i="16"/>
  <c r="AO49" i="16"/>
  <c r="AO44" i="16"/>
  <c r="AO37" i="16"/>
  <c r="AI50" i="16"/>
  <c r="AO36" i="16"/>
  <c r="AW34" i="16"/>
  <c r="AK34" i="16" s="1"/>
  <c r="AI34" i="16"/>
  <c r="AI78" i="16"/>
  <c r="AI35" i="16"/>
  <c r="AI55" i="16"/>
  <c r="AW42" i="16"/>
  <c r="AK42" i="16" s="1"/>
  <c r="AI63" i="16"/>
  <c r="AL65" i="16"/>
  <c r="AI42" i="16"/>
  <c r="AW38" i="16"/>
  <c r="AK38" i="16" s="1"/>
  <c r="AW65" i="16"/>
  <c r="AK65" i="16" s="1"/>
  <c r="AI41" i="16"/>
  <c r="AW55" i="16"/>
  <c r="AK55" i="16" s="1"/>
  <c r="AG77" i="16"/>
  <c r="AL77" i="16" s="1"/>
  <c r="AW77" i="16"/>
  <c r="AW63" i="16"/>
  <c r="AK63" i="16" s="1"/>
  <c r="AI51" i="16"/>
  <c r="AG66" i="16"/>
  <c r="AW66" i="16"/>
  <c r="AG67" i="16"/>
  <c r="AW67" i="16"/>
  <c r="AW73" i="16"/>
  <c r="AK73" i="16" s="1"/>
  <c r="AG62" i="16"/>
  <c r="AL62" i="16" s="1"/>
  <c r="AW62" i="16"/>
  <c r="AI75" i="16"/>
  <c r="AG43" i="16"/>
  <c r="AW43" i="16"/>
  <c r="AI70" i="16"/>
  <c r="AG48" i="16"/>
  <c r="AL48" i="16" s="1"/>
  <c r="AW48" i="16"/>
  <c r="AG76" i="16"/>
  <c r="AL76" i="16" s="1"/>
  <c r="AW76" i="16"/>
  <c r="AG50" i="16"/>
  <c r="AW50" i="16"/>
  <c r="AG59" i="16"/>
  <c r="AL59" i="16" s="1"/>
  <c r="AW59" i="16"/>
  <c r="AG51" i="16"/>
  <c r="AW51" i="16"/>
  <c r="AG75" i="16"/>
  <c r="AW75" i="16"/>
  <c r="AG78" i="16"/>
  <c r="AL78" i="16" s="1"/>
  <c r="AW78" i="16"/>
  <c r="AG35" i="16"/>
  <c r="AL35" i="16" s="1"/>
  <c r="AW35" i="16"/>
  <c r="AG74" i="16"/>
  <c r="AW74" i="16"/>
  <c r="AG64" i="16"/>
  <c r="AW64" i="16"/>
  <c r="AK60" i="16"/>
  <c r="AO60" i="16" s="1"/>
  <c r="AK53" i="16"/>
  <c r="AO53" i="16" s="1"/>
  <c r="AJ76" i="16"/>
  <c r="AI76" i="16"/>
  <c r="AK40" i="16"/>
  <c r="AI79" i="16"/>
  <c r="AO79" i="16" s="1"/>
  <c r="AI43" i="16"/>
  <c r="AJ43" i="16"/>
  <c r="AI47" i="16"/>
  <c r="AI65" i="16"/>
  <c r="AJ62" i="16"/>
  <c r="AI62" i="16"/>
  <c r="AI48" i="16"/>
  <c r="AJ48" i="16"/>
  <c r="AI64" i="16"/>
  <c r="AJ64" i="16"/>
  <c r="AI40" i="16"/>
  <c r="AJ40" i="16"/>
  <c r="AI72" i="16"/>
  <c r="AJ72" i="16"/>
  <c r="AI56" i="16"/>
  <c r="AJ56" i="16"/>
  <c r="AT6" i="16"/>
  <c r="AV6" i="16"/>
  <c r="AW29" i="16"/>
  <c r="AW8" i="16"/>
  <c r="AL10" i="16"/>
  <c r="AU11" i="16"/>
  <c r="AW20" i="16"/>
  <c r="AW27" i="16"/>
  <c r="AW28" i="16"/>
  <c r="AJ21" i="16"/>
  <c r="AW7" i="16"/>
  <c r="AJ9" i="16"/>
  <c r="AW19" i="16"/>
  <c r="AU24" i="16"/>
  <c r="AU18" i="16"/>
  <c r="AT10" i="16"/>
  <c r="AT22" i="16"/>
  <c r="AT30" i="16"/>
  <c r="AT7" i="16"/>
  <c r="AU8" i="16"/>
  <c r="AW9" i="16"/>
  <c r="AV10" i="16"/>
  <c r="AT19" i="16"/>
  <c r="AU20" i="16"/>
  <c r="AW21" i="16"/>
  <c r="AV22" i="16"/>
  <c r="AT27" i="16"/>
  <c r="AU28" i="16"/>
  <c r="AV30" i="16"/>
  <c r="AT9" i="16"/>
  <c r="AW11" i="16"/>
  <c r="AT21" i="16"/>
  <c r="AW23" i="16"/>
  <c r="AT29" i="16"/>
  <c r="AW31" i="16"/>
  <c r="AI37" i="11" l="1"/>
  <c r="AJ37" i="11" s="1"/>
  <c r="AI30" i="11"/>
  <c r="AJ30" i="11" s="1"/>
  <c r="AI6" i="11"/>
  <c r="AJ6" i="11" s="1"/>
  <c r="AI38" i="11"/>
  <c r="AJ38" i="11" s="1"/>
  <c r="AO38" i="11" s="1"/>
  <c r="AI8" i="11"/>
  <c r="AJ8" i="11" s="1"/>
  <c r="AI10" i="11"/>
  <c r="AJ10" i="11" s="1"/>
  <c r="AI35" i="11"/>
  <c r="AJ35" i="11" s="1"/>
  <c r="AI33" i="11"/>
  <c r="AJ33" i="11" s="1"/>
  <c r="AI7" i="11"/>
  <c r="AJ7" i="11" s="1"/>
  <c r="AI13" i="11"/>
  <c r="AJ13" i="11" s="1"/>
  <c r="AI23" i="11"/>
  <c r="AJ23" i="11" s="1"/>
  <c r="AI39" i="11"/>
  <c r="AJ39" i="11" s="1"/>
  <c r="AI11" i="11"/>
  <c r="AJ11" i="11" s="1"/>
  <c r="AO11" i="11" s="1"/>
  <c r="AI34" i="11"/>
  <c r="AJ34" i="11" s="1"/>
  <c r="AI31" i="11"/>
  <c r="AJ31" i="11" s="1"/>
  <c r="AI14" i="11"/>
  <c r="AJ14" i="11" s="1"/>
  <c r="AI32" i="11"/>
  <c r="AJ32" i="11" s="1"/>
  <c r="AI9" i="11"/>
  <c r="AJ9" i="11" s="1"/>
  <c r="AI36" i="11"/>
  <c r="AJ36" i="11" s="1"/>
  <c r="AO36" i="11" s="1"/>
  <c r="AI12" i="11"/>
  <c r="AJ12" i="11" s="1"/>
  <c r="AI21" i="11"/>
  <c r="AJ21" i="11" s="1"/>
  <c r="AI22" i="11"/>
  <c r="AJ22" i="11" s="1"/>
  <c r="AG35" i="11"/>
  <c r="AM35" i="11" s="1"/>
  <c r="AX35" i="11"/>
  <c r="AG14" i="11"/>
  <c r="AM14" i="11" s="1"/>
  <c r="AX14" i="11"/>
  <c r="AG23" i="11"/>
  <c r="AX23" i="11"/>
  <c r="AG34" i="11"/>
  <c r="AM34" i="11" s="1"/>
  <c r="AX34" i="11"/>
  <c r="AG32" i="11"/>
  <c r="AM32" i="11" s="1"/>
  <c r="AX32" i="11"/>
  <c r="AX31" i="11"/>
  <c r="AG31" i="11"/>
  <c r="AG11" i="11"/>
  <c r="AM11" i="11" s="1"/>
  <c r="AX11" i="11"/>
  <c r="AX39" i="11"/>
  <c r="AG39" i="11"/>
  <c r="AG36" i="11"/>
  <c r="AM36" i="11" s="1"/>
  <c r="AX36" i="11"/>
  <c r="AG30" i="11"/>
  <c r="AX13" i="11"/>
  <c r="AG13" i="11"/>
  <c r="AG12" i="11"/>
  <c r="AM12" i="11" s="1"/>
  <c r="AX12" i="11"/>
  <c r="AG21" i="11"/>
  <c r="AX21" i="11"/>
  <c r="AZ37" i="11"/>
  <c r="AX37" i="11"/>
  <c r="AG37" i="11"/>
  <c r="AX30" i="11"/>
  <c r="AG33" i="11"/>
  <c r="AM33" i="11" s="1"/>
  <c r="AX33" i="11"/>
  <c r="AG22" i="11"/>
  <c r="AX22" i="11"/>
  <c r="AG38" i="11"/>
  <c r="AM38" i="11" s="1"/>
  <c r="AX38" i="11"/>
  <c r="AO71" i="16"/>
  <c r="AY6" i="11"/>
  <c r="AO38" i="16"/>
  <c r="AY8" i="11"/>
  <c r="AY10" i="11"/>
  <c r="AY9" i="11"/>
  <c r="AY7" i="11"/>
  <c r="AO70" i="16"/>
  <c r="AO58" i="16"/>
  <c r="AO56" i="16"/>
  <c r="AO73" i="16"/>
  <c r="AK59" i="16"/>
  <c r="AO59" i="16" s="1"/>
  <c r="AO47" i="16"/>
  <c r="AO41" i="16"/>
  <c r="AO42" i="16"/>
  <c r="AX9" i="11"/>
  <c r="AO34" i="16"/>
  <c r="AO72" i="16"/>
  <c r="AO65" i="16"/>
  <c r="AO63" i="16"/>
  <c r="AO40" i="16"/>
  <c r="AO55" i="16"/>
  <c r="AK78" i="16"/>
  <c r="AO78" i="16" s="1"/>
  <c r="AK50" i="16"/>
  <c r="AK76" i="16"/>
  <c r="AO76" i="16" s="1"/>
  <c r="AK74" i="16"/>
  <c r="AL74" i="16"/>
  <c r="AL75" i="16"/>
  <c r="AK75" i="16"/>
  <c r="AK51" i="16"/>
  <c r="AL51" i="16"/>
  <c r="AL43" i="16"/>
  <c r="AK43" i="16"/>
  <c r="AK77" i="16"/>
  <c r="AO77" i="16" s="1"/>
  <c r="AL50" i="16"/>
  <c r="AK35" i="16"/>
  <c r="AO35" i="16" s="1"/>
  <c r="AK48" i="16"/>
  <c r="AO48" i="16" s="1"/>
  <c r="AK62" i="16"/>
  <c r="AO62" i="16" s="1"/>
  <c r="AL67" i="16"/>
  <c r="AK67" i="16"/>
  <c r="AL64" i="16"/>
  <c r="AK64" i="16"/>
  <c r="AL66" i="16"/>
  <c r="AK66" i="16"/>
  <c r="AL8" i="16"/>
  <c r="AU6" i="16"/>
  <c r="AU9" i="16"/>
  <c r="AI9" i="16" s="1"/>
  <c r="AJ11" i="16"/>
  <c r="AU10" i="16"/>
  <c r="AI10" i="16" s="1"/>
  <c r="AM7" i="11"/>
  <c r="AJ29" i="16"/>
  <c r="AK20" i="16"/>
  <c r="AW26" i="16"/>
  <c r="AL19" i="16"/>
  <c r="AU22" i="16"/>
  <c r="AI22" i="16" s="1"/>
  <c r="AW25" i="16"/>
  <c r="AK25" i="16" s="1"/>
  <c r="AU26" i="16"/>
  <c r="AJ26" i="16"/>
  <c r="AJ18" i="16"/>
  <c r="AJ24" i="16"/>
  <c r="AU30" i="16"/>
  <c r="AI30" i="16" s="1"/>
  <c r="AU19" i="16"/>
  <c r="AI19" i="16" s="1"/>
  <c r="AL7" i="16"/>
  <c r="AU32" i="16"/>
  <c r="AI32" i="16" s="1"/>
  <c r="AW22" i="16"/>
  <c r="AK22" i="16" s="1"/>
  <c r="AW30" i="16"/>
  <c r="AK30" i="16" s="1"/>
  <c r="AJ12" i="16"/>
  <c r="AU12" i="16"/>
  <c r="AU21" i="16"/>
  <c r="AI21" i="16" s="1"/>
  <c r="AI20" i="16"/>
  <c r="AL23" i="16"/>
  <c r="AI8" i="16"/>
  <c r="AL27" i="16"/>
  <c r="AL21" i="16"/>
  <c r="AU25" i="16"/>
  <c r="AW12" i="16"/>
  <c r="AJ10" i="16"/>
  <c r="AU7" i="16"/>
  <c r="AI7" i="16" s="1"/>
  <c r="AJ22" i="16"/>
  <c r="AJ7" i="16"/>
  <c r="AL30" i="16"/>
  <c r="AL28" i="16"/>
  <c r="AK28" i="16"/>
  <c r="AW17" i="16"/>
  <c r="AL22" i="16"/>
  <c r="AW24" i="16"/>
  <c r="AJ19" i="16"/>
  <c r="AJ32" i="16"/>
  <c r="AJ30" i="16"/>
  <c r="AW18" i="16"/>
  <c r="AU17" i="16"/>
  <c r="AU31" i="16"/>
  <c r="AW10" i="16"/>
  <c r="AK10" i="16" s="1"/>
  <c r="AW6" i="16"/>
  <c r="AW32" i="16"/>
  <c r="AL25" i="16"/>
  <c r="AU23" i="16"/>
  <c r="AX6" i="11"/>
  <c r="AX8" i="11"/>
  <c r="AX10" i="11"/>
  <c r="AX7" i="11"/>
  <c r="AZ14" i="11" l="1"/>
  <c r="AZ34" i="11"/>
  <c r="AZ33" i="11"/>
  <c r="AZ39" i="11"/>
  <c r="AN39" i="11" s="1"/>
  <c r="AO67" i="16"/>
  <c r="AL33" i="11"/>
  <c r="AZ38" i="11"/>
  <c r="AN38" i="11" s="1"/>
  <c r="AO14" i="11"/>
  <c r="AL34" i="11"/>
  <c r="AZ11" i="11"/>
  <c r="AN11" i="11" s="1"/>
  <c r="AO37" i="11"/>
  <c r="AZ36" i="11"/>
  <c r="AN36" i="11" s="1"/>
  <c r="AL38" i="11"/>
  <c r="AO33" i="11"/>
  <c r="AL36" i="11"/>
  <c r="AO31" i="11"/>
  <c r="AZ31" i="11"/>
  <c r="AO23" i="11"/>
  <c r="AZ23" i="11"/>
  <c r="AM22" i="11"/>
  <c r="AL22" i="11"/>
  <c r="AL12" i="11"/>
  <c r="AL32" i="11"/>
  <c r="AL14" i="11"/>
  <c r="AO12" i="11"/>
  <c r="AZ12" i="11"/>
  <c r="AO13" i="11"/>
  <c r="AZ13" i="11"/>
  <c r="AO22" i="11"/>
  <c r="AZ22" i="11"/>
  <c r="AM37" i="11"/>
  <c r="AL37" i="11"/>
  <c r="AL39" i="11"/>
  <c r="AM39" i="11"/>
  <c r="AM13" i="11"/>
  <c r="AL13" i="11"/>
  <c r="AL11" i="11"/>
  <c r="AO35" i="11"/>
  <c r="AZ35" i="11"/>
  <c r="AM30" i="11"/>
  <c r="AL30" i="11"/>
  <c r="AM31" i="11"/>
  <c r="AL31" i="11"/>
  <c r="AO32" i="11"/>
  <c r="AZ32" i="11"/>
  <c r="AM21" i="11"/>
  <c r="AL21" i="11"/>
  <c r="AO30" i="11"/>
  <c r="AZ30" i="11"/>
  <c r="AM23" i="11"/>
  <c r="AL23" i="11"/>
  <c r="AL35" i="11"/>
  <c r="AO21" i="11"/>
  <c r="AZ21" i="11"/>
  <c r="AO74" i="16"/>
  <c r="AZ10" i="11"/>
  <c r="AN10" i="11" s="1"/>
  <c r="AZ8" i="11"/>
  <c r="AN8" i="11" s="1"/>
  <c r="AZ7" i="11"/>
  <c r="AN7" i="11" s="1"/>
  <c r="AZ9" i="11"/>
  <c r="AN9" i="11" s="1"/>
  <c r="AZ6" i="11"/>
  <c r="AN6" i="11" s="1"/>
  <c r="AO75" i="16"/>
  <c r="AO50" i="16"/>
  <c r="AO51" i="16"/>
  <c r="AO22" i="16"/>
  <c r="AO30" i="16"/>
  <c r="AO43" i="16"/>
  <c r="AO64" i="16"/>
  <c r="AL7" i="11"/>
  <c r="AO10" i="16"/>
  <c r="AO66" i="16"/>
  <c r="AK8" i="16"/>
  <c r="AL20" i="16"/>
  <c r="AI6" i="16"/>
  <c r="AI11" i="16"/>
  <c r="AI18" i="16"/>
  <c r="AK19" i="16"/>
  <c r="AO19" i="16" s="1"/>
  <c r="AJ6" i="16"/>
  <c r="AI24" i="16"/>
  <c r="AK23" i="16"/>
  <c r="AU29" i="16"/>
  <c r="AI29" i="16" s="1"/>
  <c r="AI26" i="16"/>
  <c r="AU27" i="16"/>
  <c r="AI27" i="16" s="1"/>
  <c r="AO10" i="11"/>
  <c r="AO7" i="11"/>
  <c r="AM10" i="11"/>
  <c r="AL10" i="11"/>
  <c r="AO8" i="11"/>
  <c r="AO9" i="11"/>
  <c r="AO6" i="11"/>
  <c r="AM9" i="11"/>
  <c r="AL9" i="11"/>
  <c r="AI12" i="16"/>
  <c r="AJ20" i="16"/>
  <c r="AK7" i="16"/>
  <c r="AO7" i="16" s="1"/>
  <c r="AK27" i="16"/>
  <c r="AK21" i="16"/>
  <c r="AO21" i="16" s="1"/>
  <c r="AJ8" i="16"/>
  <c r="AL9" i="16"/>
  <c r="AK9" i="16"/>
  <c r="AI28" i="16"/>
  <c r="AJ28" i="16"/>
  <c r="AL29" i="16"/>
  <c r="AK29" i="16"/>
  <c r="AJ31" i="16"/>
  <c r="AI31" i="16"/>
  <c r="AL31" i="16"/>
  <c r="AK31" i="16"/>
  <c r="AK18" i="16"/>
  <c r="AL18" i="16"/>
  <c r="AK26" i="16"/>
  <c r="AL26" i="16"/>
  <c r="AL24" i="16"/>
  <c r="AK24" i="16"/>
  <c r="AJ27" i="16"/>
  <c r="AK6" i="16"/>
  <c r="AL6" i="16"/>
  <c r="AL11" i="16"/>
  <c r="AK11" i="16"/>
  <c r="AL32" i="16"/>
  <c r="AK32" i="16"/>
  <c r="AJ17" i="16"/>
  <c r="AI17" i="16"/>
  <c r="AJ23" i="16"/>
  <c r="AI23" i="16"/>
  <c r="AJ25" i="16"/>
  <c r="AI25" i="16"/>
  <c r="AL17" i="16"/>
  <c r="AK17" i="16"/>
  <c r="AL12" i="16"/>
  <c r="AK12" i="16"/>
  <c r="AO23" i="16" l="1"/>
  <c r="AO39" i="11"/>
  <c r="AN33" i="11"/>
  <c r="AN37" i="11"/>
  <c r="AN13" i="11"/>
  <c r="AN14" i="11"/>
  <c r="AN32" i="11"/>
  <c r="AN21" i="11"/>
  <c r="AN30" i="11"/>
  <c r="AN12" i="11"/>
  <c r="AN23" i="11"/>
  <c r="AN35" i="11"/>
  <c r="AN22" i="11"/>
  <c r="AN34" i="11"/>
  <c r="AO34" i="11"/>
  <c r="AN31" i="11"/>
  <c r="AO8" i="16"/>
  <c r="AO20" i="16"/>
  <c r="AO28" i="16"/>
  <c r="AO32" i="16"/>
  <c r="AO25" i="16"/>
  <c r="AO9" i="16"/>
  <c r="AO18" i="16"/>
  <c r="AO11" i="16"/>
  <c r="AO24" i="16"/>
  <c r="AO6" i="16"/>
  <c r="AO12" i="16"/>
  <c r="AO27" i="16"/>
  <c r="AO17" i="16"/>
  <c r="AO26" i="16"/>
  <c r="AO31" i="16"/>
  <c r="AO29" i="16"/>
  <c r="AM6" i="11"/>
  <c r="AL6" i="11"/>
  <c r="AM8" i="11"/>
  <c r="AL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DOTKMS</author>
    <author>BRUGMAN JR, DANIEL J</author>
  </authors>
  <commentList>
    <comment ref="E5" authorId="0" shapeId="0" xr:uid="{BADE1B92-573F-4EFB-AFD7-A31B4E5BEA2E}">
      <text>
        <r>
          <rPr>
            <sz val="9"/>
            <color indexed="81"/>
            <rFont val="Tahoma"/>
            <family val="2"/>
          </rPr>
          <t>An intersection is considered URBAN if it is located within a federally designated area which is defined by a population of &gt;= 5000</t>
        </r>
      </text>
    </comment>
    <comment ref="F5" authorId="0" shapeId="0" xr:uid="{4E326403-41F0-43AF-96FD-EEE353D8FC2E}">
      <text>
        <r>
          <rPr>
            <sz val="9"/>
            <color indexed="81"/>
            <rFont val="Tahoma"/>
            <family val="2"/>
          </rPr>
          <t>TRUE if the intersection connects a non-freeway road with an interchange ramp.</t>
        </r>
      </text>
    </comment>
    <comment ref="G5" authorId="0" shapeId="0" xr:uid="{4527C3E5-D21B-4BBB-86CD-F91B1D866697}">
      <text>
        <r>
          <rPr>
            <sz val="9"/>
            <color indexed="81"/>
            <rFont val="Tahoma"/>
            <family val="2"/>
          </rPr>
          <t>The number of approaches at the intersection. Driveways are not included.</t>
        </r>
      </text>
    </comment>
    <comment ref="H5" authorId="0" shapeId="0" xr:uid="{6BE77E53-AF4B-4D5A-A8F9-15F8452388C9}">
      <text>
        <r>
          <rPr>
            <sz val="9"/>
            <color indexed="81"/>
            <rFont val="Tahoma"/>
            <family val="2"/>
          </rPr>
          <t>Traffic control at the intersection.</t>
        </r>
      </text>
    </comment>
    <comment ref="J5" authorId="1" shapeId="0" xr:uid="{3BA187C8-7BF0-4FBA-B6BC-68A345D461F0}">
      <text>
        <r>
          <rPr>
            <b/>
            <sz val="9"/>
            <color indexed="81"/>
            <rFont val="Tahoma"/>
            <family val="2"/>
          </rPr>
          <t>Only TRUE for 4-leg intersections that are stop-controlled on 3 approaches.</t>
        </r>
      </text>
    </comment>
    <comment ref="L5" authorId="1" shapeId="0" xr:uid="{7E4C5E0D-8E0B-4FE7-94E8-D6B15BB81213}">
      <text>
        <r>
          <rPr>
            <sz val="9"/>
            <color indexed="81"/>
            <rFont val="Tahoma"/>
            <family val="2"/>
          </rPr>
          <t>Driveway/Accesses to various WisDOT facilities (e.g., Rest Areas, Park and Ride Lots, Waysides, Overlooks, etc.)</t>
        </r>
      </text>
    </comment>
    <comment ref="M5" authorId="0" shapeId="0" xr:uid="{0A191A1A-1550-4569-B32D-00C8F33C993D}">
      <text>
        <r>
          <rPr>
            <sz val="9"/>
            <color indexed="81"/>
            <rFont val="Tahoma"/>
            <family val="2"/>
          </rPr>
          <t>Major AADT = the maximum approach volume for the Major Road.
This volume is for both directions of travel.</t>
        </r>
      </text>
    </comment>
    <comment ref="N5" authorId="0" shapeId="0" xr:uid="{A196F5F8-D7D9-4C26-87CD-81F6DF651B50}">
      <text>
        <r>
          <rPr>
            <sz val="9"/>
            <color indexed="81"/>
            <rFont val="Tahoma"/>
            <family val="2"/>
          </rPr>
          <t>Minor AADT = maximum approach volume for the Minor Road.
This volume is for both directions of travel.</t>
        </r>
      </text>
    </comment>
    <comment ref="P5" authorId="1" shapeId="0" xr:uid="{29A6B1FC-0E8B-4A76-A861-D971CA17608F}">
      <text>
        <r>
          <rPr>
            <sz val="9"/>
            <color indexed="81"/>
            <rFont val="Tahoma"/>
            <family val="2"/>
          </rPr>
          <t>See the Clean Document Numbers column for a version of the data which can be copied into WisTransPortal</t>
        </r>
      </text>
    </comment>
    <comment ref="Y5" authorId="1" shapeId="0" xr:uid="{3F6ED214-13B1-4333-895F-2D143D8CBD7B}">
      <text>
        <r>
          <rPr>
            <sz val="9"/>
            <color indexed="81"/>
            <rFont val="Tahoma"/>
            <family val="2"/>
          </rPr>
          <t>AASHTOWare Safety's export of document numbers should respect the default date range (e.g., 2020-2024) and will not adjust if changes are made to the date range. Crashes removed from Network Screening (e.g., work zone, animal, and parking lot) should also not be reflected within the document number listing.</t>
        </r>
        <r>
          <rPr>
            <b/>
            <sz val="9"/>
            <color indexed="81"/>
            <rFont val="Tahoma"/>
            <family val="2"/>
          </rPr>
          <t xml:space="preserve">
</t>
        </r>
        <r>
          <rPr>
            <sz val="9"/>
            <color indexed="81"/>
            <rFont val="Tahoma"/>
            <family val="2"/>
          </rPr>
          <t xml:space="preserve">Document Numbers within the Intersection Application should only display locations receiving an Intersection ID assignment. For discrepancies or to verify which crashes are assigned to the intersection, locations can be opened up in the Crash Query Application and users can add "Intersection ID" to the raw table to confirm. </t>
        </r>
      </text>
    </comment>
    <comment ref="AR5" authorId="0" shapeId="0" xr:uid="{AF58D613-13EB-4D38-8F15-C5C27FFB2620}">
      <text>
        <r>
          <rPr>
            <sz val="9"/>
            <color indexed="81"/>
            <rFont val="Tahoma"/>
            <family val="2"/>
          </rPr>
          <t>A location is flagged if it has at least 2 crashes; and LOSS 4 for either TOTAL Crashes or KABC Crashes.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DOTKMS</author>
    <author>BRUGMAN JR, DANIEL J</author>
  </authors>
  <commentList>
    <comment ref="E5" authorId="0" shapeId="0" xr:uid="{B3A67BF6-D0D8-4F2A-B384-D3A892F41390}">
      <text>
        <r>
          <rPr>
            <sz val="9"/>
            <color indexed="81"/>
            <rFont val="Tahoma"/>
            <family val="2"/>
          </rPr>
          <t>An intersection is considered URBAN if it is located within a federally designated area which is defined by a population of &gt;= 5000</t>
        </r>
      </text>
    </comment>
    <comment ref="I5" authorId="0" shapeId="0" xr:uid="{1E6D9923-F8CB-497E-9341-463DC10A9D62}">
      <text>
        <r>
          <rPr>
            <sz val="9"/>
            <color indexed="81"/>
            <rFont val="Tahoma"/>
            <family val="2"/>
          </rPr>
          <t>The "Number of Lanes" refers to the average number of Major Road through lanes per direction.</t>
        </r>
      </text>
    </comment>
    <comment ref="N5" authorId="1" shapeId="0" xr:uid="{221A5ADF-0CF0-485B-A6E0-567450D485BB}">
      <text>
        <r>
          <rPr>
            <sz val="9"/>
            <color indexed="81"/>
            <rFont val="Tahoma"/>
            <family val="2"/>
          </rPr>
          <t>See the Clean Document Numbers column for a version of the data which can be copied into WisTransPortal</t>
        </r>
      </text>
    </comment>
    <comment ref="W5" authorId="1" shapeId="0" xr:uid="{E734515C-5385-4A5C-8D45-8C732D4EB1E3}">
      <text>
        <r>
          <rPr>
            <sz val="9"/>
            <color indexed="81"/>
            <rFont val="Tahoma"/>
            <family val="2"/>
          </rPr>
          <t xml:space="preserve">AASHTOWare Safety's export of document numbers should respect the default date range (e.g., 2020-2024) and will not adjust if changes are made to the date range. Crashes removed from Network Screening (e.g., work zone, animal, and parking lot) should also not be reflected within the document number listing.
Document Numbers within the Segment Application will display any document numbers for the segment </t>
        </r>
        <r>
          <rPr>
            <b/>
            <u/>
            <sz val="9"/>
            <color indexed="81"/>
            <rFont val="Tahoma"/>
            <family val="2"/>
          </rPr>
          <t>and</t>
        </r>
        <r>
          <rPr>
            <sz val="9"/>
            <color indexed="81"/>
            <rFont val="Tahoma"/>
            <family val="2"/>
          </rPr>
          <t xml:space="preserve"> intersection(s) within the segment. For discrepancies or to verify which crashes are assigned to the intersection vs segment, locations can be opened in the Crash Query Application and users can add “Segment ID” and “Intersection ID” to the raw table to confirm. Locations with an “Intersection ID” are assigned to the intersection screening results and would be omitted from the segment screening calculations. </t>
        </r>
        <r>
          <rPr>
            <b/>
            <sz val="9"/>
            <color indexed="81"/>
            <rFont val="Tahoma"/>
            <family val="2"/>
          </rPr>
          <t xml:space="preserve">
</t>
        </r>
      </text>
    </comment>
    <comment ref="AO5" authorId="0" shapeId="0" xr:uid="{3B0D8184-CC79-4514-B415-CA5505BDFD0C}">
      <text>
        <r>
          <rPr>
            <sz val="9"/>
            <color indexed="81"/>
            <rFont val="Tahoma"/>
            <family val="2"/>
          </rPr>
          <t>A location is flagged if it has at least 2 crashes; and LOSS 4 for either TOTAL Crashes or KABC Crashes.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DOTKMS</author>
  </authors>
  <commentList>
    <comment ref="Q3" authorId="0" shapeId="0" xr:uid="{AF02C9F0-2892-4CD4-8512-FBADDA1EC3CA}">
      <text>
        <r>
          <rPr>
            <sz val="9"/>
            <color indexed="81"/>
            <rFont val="Tahoma"/>
            <family val="2"/>
          </rPr>
          <t>This is called "Flag" in MSA report.</t>
        </r>
      </text>
    </comment>
  </commentList>
</comments>
</file>

<file path=xl/sharedStrings.xml><?xml version="1.0" encoding="utf-8"?>
<sst xmlns="http://schemas.openxmlformats.org/spreadsheetml/2006/main" count="1278" uniqueCount="553">
  <si>
    <t>AWSC</t>
  </si>
  <si>
    <t>SE</t>
  </si>
  <si>
    <t>NE</t>
  </si>
  <si>
    <t>SW</t>
  </si>
  <si>
    <t>TWSC</t>
  </si>
  <si>
    <t>Intercept</t>
  </si>
  <si>
    <t>Major AADT</t>
  </si>
  <si>
    <t>Minor AADT</t>
  </si>
  <si>
    <t>Dispersion Parameter</t>
  </si>
  <si>
    <t>SPF Name</t>
  </si>
  <si>
    <t>Area Type</t>
  </si>
  <si>
    <t>Number of Legs</t>
  </si>
  <si>
    <t>Ramp Terminal</t>
  </si>
  <si>
    <t>Median Type</t>
  </si>
  <si>
    <t>Severity</t>
  </si>
  <si>
    <t>Notes</t>
  </si>
  <si>
    <t>Model Form (Spreadsheet)</t>
  </si>
  <si>
    <t>Intercept S.E.</t>
  </si>
  <si>
    <t>Major AADT S.E.</t>
  </si>
  <si>
    <t>Minor AADT S.E.</t>
  </si>
  <si>
    <t>Total AADT S.E.</t>
  </si>
  <si>
    <t>Median Type S.E.</t>
  </si>
  <si>
    <t>Dispersion Parameter S.E.</t>
  </si>
  <si>
    <t>Number of Sites</t>
  </si>
  <si>
    <t>Min. Major AADT</t>
  </si>
  <si>
    <t>Max. Major AADT</t>
  </si>
  <si>
    <t>Min. Minor AADT</t>
  </si>
  <si>
    <t>Max. Minor AADT</t>
  </si>
  <si>
    <t>Number of Lanes</t>
  </si>
  <si>
    <r>
      <t xml:space="preserve">TOTAL
</t>
    </r>
    <r>
      <rPr>
        <sz val="8"/>
        <rFont val="Calibri"/>
        <family val="2"/>
        <scheme val="minor"/>
      </rPr>
      <t>(k)</t>
    </r>
  </si>
  <si>
    <r>
      <t xml:space="preserve">KABC
</t>
    </r>
    <r>
      <rPr>
        <sz val="8"/>
        <rFont val="Calibri"/>
        <family val="2"/>
        <scheme val="minor"/>
      </rPr>
      <t>(k)</t>
    </r>
  </si>
  <si>
    <t>2</t>
  </si>
  <si>
    <t>3</t>
  </si>
  <si>
    <t>Region</t>
  </si>
  <si>
    <t>Updated:</t>
  </si>
  <si>
    <t>Intersection Network Screening</t>
  </si>
  <si>
    <t>NC</t>
  </si>
  <si>
    <t>NW</t>
  </si>
  <si>
    <t>TWLTL</t>
  </si>
  <si>
    <t>Ramp</t>
  </si>
  <si>
    <t>Network Screening SPF Selection</t>
  </si>
  <si>
    <r>
      <t xml:space="preserve">Observed
</t>
    </r>
    <r>
      <rPr>
        <sz val="8"/>
        <rFont val="Calibri"/>
        <family val="2"/>
        <scheme val="minor"/>
      </rPr>
      <t>(TOTAL)</t>
    </r>
  </si>
  <si>
    <r>
      <t xml:space="preserve">Predicted
</t>
    </r>
    <r>
      <rPr>
        <sz val="8"/>
        <rFont val="Calibri"/>
        <family val="2"/>
        <scheme val="minor"/>
      </rPr>
      <t>(TOTAL)</t>
    </r>
  </si>
  <si>
    <r>
      <t xml:space="preserve">LOSS
</t>
    </r>
    <r>
      <rPr>
        <sz val="8"/>
        <rFont val="Calibri"/>
        <family val="2"/>
        <scheme val="minor"/>
      </rPr>
      <t>(TOTAL)</t>
    </r>
  </si>
  <si>
    <r>
      <t xml:space="preserve">Observed
</t>
    </r>
    <r>
      <rPr>
        <sz val="8"/>
        <rFont val="Calibri"/>
        <family val="2"/>
        <scheme val="minor"/>
      </rPr>
      <t>(KABC)</t>
    </r>
  </si>
  <si>
    <r>
      <t xml:space="preserve">Predicted
</t>
    </r>
    <r>
      <rPr>
        <sz val="8"/>
        <rFont val="Calibri"/>
        <family val="2"/>
        <scheme val="minor"/>
      </rPr>
      <t>(KABC)</t>
    </r>
  </si>
  <si>
    <r>
      <t xml:space="preserve">LOSS
</t>
    </r>
    <r>
      <rPr>
        <sz val="8"/>
        <rFont val="Calibri"/>
        <family val="2"/>
        <scheme val="minor"/>
      </rPr>
      <t>(KABC)</t>
    </r>
  </si>
  <si>
    <t>Legs</t>
  </si>
  <si>
    <t>Control</t>
  </si>
  <si>
    <t>Median</t>
  </si>
  <si>
    <t>Lanes</t>
  </si>
  <si>
    <t>County</t>
  </si>
  <si>
    <t>1</t>
  </si>
  <si>
    <t>SPF Characteristics</t>
  </si>
  <si>
    <t>SPF Char</t>
  </si>
  <si>
    <t>SPF Coefficient Values</t>
  </si>
  <si>
    <t>SPF Values</t>
  </si>
  <si>
    <t>SPF Standard Error and Basic Information</t>
  </si>
  <si>
    <t>SPF Info</t>
  </si>
  <si>
    <t>Notes and Comments</t>
  </si>
  <si>
    <t>SPF Group</t>
  </si>
  <si>
    <t>Model Form (Report)</t>
  </si>
  <si>
    <r>
      <t xml:space="preserve">Expected
</t>
    </r>
    <r>
      <rPr>
        <sz val="8"/>
        <rFont val="Calibri"/>
        <family val="2"/>
        <scheme val="minor"/>
      </rPr>
      <t>(TOTAL)</t>
    </r>
  </si>
  <si>
    <r>
      <t xml:space="preserve">Expected
</t>
    </r>
    <r>
      <rPr>
        <sz val="8"/>
        <rFont val="Calibri"/>
        <family val="2"/>
        <scheme val="minor"/>
      </rPr>
      <t>(KABC)</t>
    </r>
  </si>
  <si>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</si>
  <si>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</si>
  <si>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</si>
  <si>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</si>
  <si>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</si>
  <si>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</si>
  <si>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</si>
  <si>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</si>
  <si>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</si>
  <si>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</si>
  <si>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</si>
  <si>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</si>
  <si>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</si>
  <si>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</si>
  <si>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</si>
  <si>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</si>
  <si>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</si>
  <si>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</si>
  <si>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</si>
  <si>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</si>
  <si>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</si>
  <si>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</si>
  <si>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</si>
  <si>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</si>
  <si>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</si>
  <si>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</si>
  <si>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</si>
  <si>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</si>
  <si>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</si>
  <si>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</si>
  <si>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</si>
  <si>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</si>
  <si>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</si>
  <si>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</si>
  <si>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</si>
  <si>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</si>
  <si>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</si>
  <si>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</si>
  <si>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</si>
  <si>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Menominee</t>
  </si>
  <si>
    <t>Milwaukee</t>
  </si>
  <si>
    <t>Monroe</t>
  </si>
  <si>
    <t>Oconto</t>
  </si>
  <si>
    <t>Oneida</t>
  </si>
  <si>
    <t>Outagamie</t>
  </si>
  <si>
    <t>Ozaukee</t>
  </si>
  <si>
    <t>Pepin</t>
  </si>
  <si>
    <t>Pierce</t>
  </si>
  <si>
    <t>Polk</t>
  </si>
  <si>
    <t>Portage</t>
  </si>
  <si>
    <t>Price</t>
  </si>
  <si>
    <t>Racine</t>
  </si>
  <si>
    <t>Richland</t>
  </si>
  <si>
    <t>Rock</t>
  </si>
  <si>
    <t>Rusk</t>
  </si>
  <si>
    <t>Sauk</t>
  </si>
  <si>
    <t>Sawyer</t>
  </si>
  <si>
    <t>Shawano</t>
  </si>
  <si>
    <t>Sheboygan</t>
  </si>
  <si>
    <t>St. Croix</t>
  </si>
  <si>
    <t>Taylor</t>
  </si>
  <si>
    <t>Trempealeau</t>
  </si>
  <si>
    <t>Vernon</t>
  </si>
  <si>
    <t>Vilas</t>
  </si>
  <si>
    <t>Walworth</t>
  </si>
  <si>
    <t>Washburn</t>
  </si>
  <si>
    <t>Washington</t>
  </si>
  <si>
    <t>Waukesha</t>
  </si>
  <si>
    <t>Waupaca</t>
  </si>
  <si>
    <t>Waushara</t>
  </si>
  <si>
    <t>Winnebago</t>
  </si>
  <si>
    <t>Wood</t>
  </si>
  <si>
    <r>
      <t xml:space="preserve">PSI
</t>
    </r>
    <r>
      <rPr>
        <sz val="8"/>
        <rFont val="Calibri"/>
        <family val="2"/>
        <scheme val="minor"/>
      </rPr>
      <t>(TOTAL)</t>
    </r>
  </si>
  <si>
    <r>
      <t xml:space="preserve">PSI
</t>
    </r>
    <r>
      <rPr>
        <sz val="8"/>
        <rFont val="Calibri"/>
        <family val="2"/>
        <scheme val="minor"/>
      </rPr>
      <t>(KABC)</t>
    </r>
  </si>
  <si>
    <t>RAMPS S.E.</t>
  </si>
  <si>
    <r>
      <t xml:space="preserve">Flagged Location
</t>
    </r>
    <r>
      <rPr>
        <sz val="8"/>
        <rFont val="Calibri"/>
        <family val="2"/>
        <scheme val="minor"/>
      </rPr>
      <t>(Yes/No)</t>
    </r>
  </si>
  <si>
    <t>Fatal (K)</t>
  </si>
  <si>
    <t>Suspected Serious Injury (A)</t>
  </si>
  <si>
    <t>Suspected Minor Injury (B)</t>
  </si>
  <si>
    <t xml:space="preserve">Possible Injury (C) </t>
  </si>
  <si>
    <t>Property Damage (PDO)</t>
  </si>
  <si>
    <t>K - Crashes</t>
  </si>
  <si>
    <t>A - Crashes</t>
  </si>
  <si>
    <t>B - Crashes</t>
  </si>
  <si>
    <t>C - Crashes</t>
  </si>
  <si>
    <t>O - Crashes</t>
  </si>
  <si>
    <t>Total</t>
  </si>
  <si>
    <t>K - Prop</t>
  </si>
  <si>
    <t>A - Prop</t>
  </si>
  <si>
    <t>B - Prop</t>
  </si>
  <si>
    <t>C - Prop</t>
  </si>
  <si>
    <t>O - Prop</t>
  </si>
  <si>
    <r>
      <t>Severity Proportions</t>
    </r>
    <r>
      <rPr>
        <sz val="16"/>
        <color theme="1"/>
        <rFont val="Calibri"/>
        <family val="2"/>
        <scheme val="minor"/>
      </rPr>
      <t xml:space="preserve"> 
</t>
    </r>
    <r>
      <rPr>
        <sz val="12"/>
        <color theme="1"/>
        <rFont val="Calibri"/>
        <family val="2"/>
        <scheme val="minor"/>
      </rPr>
      <t>(from 5 year crash history)</t>
    </r>
  </si>
  <si>
    <t>32</t>
  </si>
  <si>
    <t>33</t>
  </si>
  <si>
    <r>
      <t xml:space="preserve">Econ. Impact
</t>
    </r>
    <r>
      <rPr>
        <sz val="8"/>
        <rFont val="Calibri"/>
        <family val="2"/>
        <scheme val="minor"/>
      </rPr>
      <t>(KABC)</t>
    </r>
  </si>
  <si>
    <r>
      <t xml:space="preserve">Econ. Impact
</t>
    </r>
    <r>
      <rPr>
        <sz val="8"/>
        <rFont val="Calibri"/>
        <family val="2"/>
        <scheme val="minor"/>
      </rPr>
      <t>(TOTAL)</t>
    </r>
  </si>
  <si>
    <t>Crash Costs (2023 $)</t>
  </si>
  <si>
    <t>No</t>
  </si>
  <si>
    <t>Yes</t>
  </si>
  <si>
    <t>Segment Network Screening</t>
  </si>
  <si>
    <t>Freeway</t>
  </si>
  <si>
    <t>AADT</t>
  </si>
  <si>
    <t>Rural</t>
  </si>
  <si>
    <t>Urban</t>
  </si>
  <si>
    <t>AADT S.E.</t>
  </si>
  <si>
    <t>Yes_No</t>
  </si>
  <si>
    <r>
      <t>Severity Proportions</t>
    </r>
    <r>
      <rPr>
        <sz val="16"/>
        <color theme="1"/>
        <rFont val="Calibri"/>
        <family val="2"/>
        <scheme val="minor"/>
      </rPr>
      <t xml:space="preserve"> 
</t>
    </r>
    <r>
      <rPr>
        <sz val="12"/>
        <color theme="1"/>
        <rFont val="Calibri"/>
        <family val="2"/>
        <scheme val="minor"/>
      </rPr>
      <t>(from segment inventory project)</t>
    </r>
  </si>
  <si>
    <t>Bicycle Involved Crash Count</t>
  </si>
  <si>
    <t>Pedestrian Involved Crash Count</t>
  </si>
  <si>
    <t>Data from AASHTOWare Safety</t>
  </si>
  <si>
    <t>KABC Crashes</t>
  </si>
  <si>
    <t>Safety and Operations Certification Worksheet Information</t>
  </si>
  <si>
    <t>Leg Count</t>
  </si>
  <si>
    <t>Traffic Control</t>
  </si>
  <si>
    <t>Intersection ID</t>
  </si>
  <si>
    <t>Document Numbers</t>
  </si>
  <si>
    <t>K</t>
  </si>
  <si>
    <t>A</t>
  </si>
  <si>
    <t>B</t>
  </si>
  <si>
    <t>C</t>
  </si>
  <si>
    <t>O</t>
  </si>
  <si>
    <t>Unknown</t>
  </si>
  <si>
    <t>Crash Breakdown</t>
  </si>
  <si>
    <t>TOTAL Crashes</t>
  </si>
  <si>
    <t>Calculated Information</t>
  </si>
  <si>
    <t>Clean Document Numbers</t>
  </si>
  <si>
    <t>General Information</t>
  </si>
  <si>
    <t>Pedestrian Involved</t>
  </si>
  <si>
    <t>Loss Calculations</t>
  </si>
  <si>
    <r>
      <t xml:space="preserve">Beta
</t>
    </r>
    <r>
      <rPr>
        <sz val="10"/>
        <rFont val="Calibri"/>
        <family val="2"/>
        <scheme val="minor"/>
      </rPr>
      <t>(Total)</t>
    </r>
  </si>
  <si>
    <r>
      <t xml:space="preserve">Alpha
</t>
    </r>
    <r>
      <rPr>
        <sz val="10"/>
        <rFont val="Calibri"/>
        <family val="2"/>
        <scheme val="minor"/>
      </rPr>
      <t>(Total)</t>
    </r>
  </si>
  <si>
    <r>
      <t xml:space="preserve">Alpha
</t>
    </r>
    <r>
      <rPr>
        <sz val="10"/>
        <rFont val="Calibri"/>
        <family val="2"/>
        <scheme val="minor"/>
      </rPr>
      <t>(KABC)</t>
    </r>
  </si>
  <si>
    <r>
      <t xml:space="preserve">Beta
</t>
    </r>
    <r>
      <rPr>
        <sz val="10"/>
        <rFont val="Calibri"/>
        <family val="2"/>
        <scheme val="minor"/>
      </rPr>
      <t>(KABC)</t>
    </r>
  </si>
  <si>
    <t>Intersection ID &amp; Name</t>
  </si>
  <si>
    <t>Roadway System</t>
  </si>
  <si>
    <t>Freeway/ Non-Freeway</t>
  </si>
  <si>
    <t>Divided/ Undivided</t>
  </si>
  <si>
    <t>Segment ID</t>
  </si>
  <si>
    <t>Street Name</t>
  </si>
  <si>
    <t>Segment Length</t>
  </si>
  <si>
    <t>Data Inputs</t>
  </si>
  <si>
    <t>Screening Years</t>
  </si>
  <si>
    <t>Local Road, Rural, 1-2 Lanes, 0-250 AADT</t>
  </si>
  <si>
    <t>Local Road, Rural, 1-2 Lanes, 1,501-3,500 AADT</t>
  </si>
  <si>
    <t>Local Road, Rural, 1-2 Lanes, 251-400 AADT</t>
  </si>
  <si>
    <t>Local Road, Rural, 1-2 Lanes, 401-750 AADT</t>
  </si>
  <si>
    <t>Local Road, Rural, 1-2 Lanes, 751-1,500 AADT</t>
  </si>
  <si>
    <t>Local Road, Rural, 3+ Lanes, Any Volume</t>
  </si>
  <si>
    <t>Local Road, Rural, Data Error</t>
  </si>
  <si>
    <t>Local Road, Urban, 1-2 Lanes, 0-250 AADT</t>
  </si>
  <si>
    <t>Local Road, Urban, 1-2 Lanes, 1,501-3,500 AADT</t>
  </si>
  <si>
    <t>Local Road, Urban, 1-2 Lanes, 251-400 AADT</t>
  </si>
  <si>
    <t>Local Road, Urban, 1-2 Lanes, 3,501-7,000 AADT</t>
  </si>
  <si>
    <t>Local Road, Urban, 1-2 Lanes, 401-750 AADT</t>
  </si>
  <si>
    <t>Local Road, Urban, 1-2 Lanes, 751-1,500 AADT</t>
  </si>
  <si>
    <t>Local Road, Urban, 3+ Lanes, Any Volume</t>
  </si>
  <si>
    <t>Local Road, Urban, Data Error</t>
  </si>
  <si>
    <t>State Highway, All Area Types, Freeway, Divided, 1-2 Lanes, 501+ AADT</t>
  </si>
  <si>
    <t>State Highway, All Area Types, Freeway, Undivided, 1+ Lanes, Any Volume</t>
  </si>
  <si>
    <t>State Highway, All Area Types, Non-Freeway, Divided, 5+ Lanes, Any Volume</t>
  </si>
  <si>
    <t>State Highway, Rural, Freeway, Data Error</t>
  </si>
  <si>
    <t>State Highway, Rural, Freeway, Divided, 3-4 Lanes, 15,001-30,000 AADT</t>
  </si>
  <si>
    <t>State Highway, Rural, Freeway, Divided, 3-4 Lanes, 30,001+ AADT</t>
  </si>
  <si>
    <t>State Highway, Rural, Freeway, Divided, 3-4 Lanes, 501-15,000 AADT</t>
  </si>
  <si>
    <t>State Highway, Rural, Freeway, Divided, 5+ Lanes, Any Volume</t>
  </si>
  <si>
    <t>State Highway, Rural, Non-Freeway, Data Error</t>
  </si>
  <si>
    <t>State Highway, Rural, Non-Freeway, Divided, 1-2 Lanes, Any Volume</t>
  </si>
  <si>
    <t>State Highway, Rural, Non-Freeway, Divided, 3-4 Lanes, 0-10,000 AADT</t>
  </si>
  <si>
    <t>State Highway, Rural, Non-Freeway, Divided, 3-4 Lanes, 10,001-17,500 AADT</t>
  </si>
  <si>
    <t>State Highway, Rural, Non-Freeway, Divided, 3-4 Lanes, 17,501+ AADT</t>
  </si>
  <si>
    <t>State Highway, Rural, Non-Freeway, TWLTL, 1+ Lanes, Any Volume</t>
  </si>
  <si>
    <t>State Highway, Rural, Non-Freeway, Undivided, 1-2 Lanes, 0-1,500 AADT</t>
  </si>
  <si>
    <t>State Highway, Rural, Non-Freeway, Undivided, 1-2 Lanes, 1,501-3,500 AADT</t>
  </si>
  <si>
    <t>State Highway, Rural, Non-Freeway, Undivided, 1-2 Lanes, 3,501-7,000 AADT</t>
  </si>
  <si>
    <t>State Highway, Rural, Non-Freeway, Undivided, 1-2 Lanes, 7,001+ AADT</t>
  </si>
  <si>
    <t>State Highway, Rural, Non-Freeway, Undivided, 3+ Lanes, Any Volume</t>
  </si>
  <si>
    <t>State Highway, Urban, Freeway, Data Error</t>
  </si>
  <si>
    <t>State Highway, Urban, Freeway, Divided, 3-4 Lanes, 20,001-35,000 AADT</t>
  </si>
  <si>
    <t>State Highway, Urban, Freeway, Divided, 3-4 Lanes, 35,001+ AADT</t>
  </si>
  <si>
    <t>State Highway, Urban, Freeway, Divided, 3-4 Lanes, 501-20,000 AADT</t>
  </si>
  <si>
    <t>State Highway, Urban, Freeway, Divided, 5-6 Lanes, Any Volume</t>
  </si>
  <si>
    <t>State Highway, Urban, Freeway, Divided, 7+ Lanes, Any Volume</t>
  </si>
  <si>
    <t>State Highway, Urban, Non-Freeway, Data Error</t>
  </si>
  <si>
    <t>State Highway, Urban, Non-Freeway, Divided, 1-2 Lanes, Any Volume</t>
  </si>
  <si>
    <t>State Highway, Urban, Non-Freeway, Divided, 3-4 Lanes, 0-8,000 AADT</t>
  </si>
  <si>
    <t>State Highway, Urban, Non-Freeway, Divided, 3-4 Lanes, 17,501-24,000 AADT</t>
  </si>
  <si>
    <t>State Highway, Urban, Non-Freeway, Divided, 3-4 Lanes, 24,001+ AADT</t>
  </si>
  <si>
    <t>State Highway, Urban, Non-Freeway, Divided, 3-4 Lanes, 8,001-17,500 AADT</t>
  </si>
  <si>
    <t>State Highway, Urban, Non-Freeway, TWLTL, 1+ Lanes, Any Volume</t>
  </si>
  <si>
    <t>State Highway, Urban, Non-Freeway, Undivided, 1-2 Lanes, 0-4,500 AADT</t>
  </si>
  <si>
    <t>State Highway, Urban, Non-Freeway, Undivided, 1-2 Lanes, 7,001+ AADT</t>
  </si>
  <si>
    <t>State Highway, Urban, Non-Freeway, Undivided, 3-4 Lanes, Any Volume</t>
  </si>
  <si>
    <t>State Highway</t>
  </si>
  <si>
    <t>AADT Min</t>
  </si>
  <si>
    <t>AADT Max</t>
  </si>
  <si>
    <t>Non-Freeway</t>
  </si>
  <si>
    <t>Undivided</t>
  </si>
  <si>
    <t>Other Type or None</t>
  </si>
  <si>
    <t>AWS Name</t>
  </si>
  <si>
    <t>L_R_DataError</t>
  </si>
  <si>
    <t>L_U_DataError</t>
  </si>
  <si>
    <t>S_R_Free_DataError</t>
  </si>
  <si>
    <t>S_R_Free_Divided_4Lane_501-15000</t>
  </si>
  <si>
    <t>S_R_Free_Divided_4Lane_15001-30000</t>
  </si>
  <si>
    <t>S_R_Free_Divided_4Lane_30001+</t>
  </si>
  <si>
    <t>S_R_Free_Divided_5+Lane_0+</t>
  </si>
  <si>
    <t>S_R_Non_DataError</t>
  </si>
  <si>
    <t>S_R_Non_Divided_2Lane_0+</t>
  </si>
  <si>
    <t>S_R_Non_Divided_4Lane_0-10000</t>
  </si>
  <si>
    <t>S_R_Non_Undivided_2Lane_0-1500</t>
  </si>
  <si>
    <t>S_R_Non_Divided_4Lane_10001-17500</t>
  </si>
  <si>
    <t>S_R_Non_Divided_4Lane_17501+</t>
  </si>
  <si>
    <t>S_R_Non_Undivided_2Lane_7001+</t>
  </si>
  <si>
    <t>S_R_Non_TWLTL_1+Lanes_0+</t>
  </si>
  <si>
    <t>S_R_Non_Undivided_2Lane_1501-3500</t>
  </si>
  <si>
    <t>S_R_Non_Undivided_2Lane_3501-7000</t>
  </si>
  <si>
    <t>S_R_Non_Undivided_3+Lanes_0+</t>
  </si>
  <si>
    <t>S_U_Free_DataError</t>
  </si>
  <si>
    <t>S_U_Free_Divided_6Lane_0+</t>
  </si>
  <si>
    <t>S_U_Free_Divided_4Lane_501-20000</t>
  </si>
  <si>
    <t>S_U_Free_Divided_4Lane_20001-35000</t>
  </si>
  <si>
    <t>S_U_Free_Divided_4Lane_35001+</t>
  </si>
  <si>
    <t>S_U_Free_Divided_7+Lane_0+</t>
  </si>
  <si>
    <t>S_U_Non_DataError</t>
  </si>
  <si>
    <t>S_U_Non_Divided_2Lane_0+</t>
  </si>
  <si>
    <t>S_U_Non_Undivided_4Lane_0+</t>
  </si>
  <si>
    <t>S_U_Non_Divided_4Lane_0-8000</t>
  </si>
  <si>
    <t>S_U_Non_Undivided_2Lane_0-4500</t>
  </si>
  <si>
    <t>S_U_Non_Divided_4Lane_8001-17500</t>
  </si>
  <si>
    <t>S_U_Non_Divided_4Lane_17501-24000</t>
  </si>
  <si>
    <t>S_U_Non_Divided_4Lane_24001+</t>
  </si>
  <si>
    <t>S_U_Non_TWLTL_1+Lanes_0+</t>
  </si>
  <si>
    <t>S_U_Non_Undivided_2Lane_4501-7000</t>
  </si>
  <si>
    <t>S_R_Free_Divided_2Lane_501+</t>
  </si>
  <si>
    <t>S_R_Non_Divided_5+Lane_0+</t>
  </si>
  <si>
    <t>S_U_Free_Divided_2Lane_501+</t>
  </si>
  <si>
    <t>S_U_Non_Divided_5+Lane_0+</t>
  </si>
  <si>
    <t>Divided</t>
  </si>
  <si>
    <t>3+</t>
  </si>
  <si>
    <t>5+</t>
  </si>
  <si>
    <t>1-2</t>
  </si>
  <si>
    <t>3-4</t>
  </si>
  <si>
    <t>1+</t>
  </si>
  <si>
    <t>5-6</t>
  </si>
  <si>
    <t>7+</t>
  </si>
  <si>
    <t>Local Road</t>
  </si>
  <si>
    <t>L_R_Non_Undivided_2Lane_0-250</t>
  </si>
  <si>
    <t>L_R_Non_Undivided_2Lane_251-400</t>
  </si>
  <si>
    <t>L_R_Non_Undivided_2Lane_401-750</t>
  </si>
  <si>
    <t>L_R_Non_Undivided_2Lane_1501-3500</t>
  </si>
  <si>
    <t>L_R_Non_Undivided_2Lane_3501+</t>
  </si>
  <si>
    <t>L_R_Non_Divided_2Lane_0-250</t>
  </si>
  <si>
    <t>L_R_Non_Divided_2Lane_251-400</t>
  </si>
  <si>
    <t>L_R_Non_Divided_2Lane_401-750</t>
  </si>
  <si>
    <t>L_R_Non_Divided_2Lane_1501-3500</t>
  </si>
  <si>
    <t>L_R_Non_Divided_2Lane_3501+</t>
  </si>
  <si>
    <t>L_R_Non_Divided_3+Lane_0+</t>
  </si>
  <si>
    <t>L_R_Non_Undivided_3+Lane_0+</t>
  </si>
  <si>
    <t>L_U_Non_Undivided_2Lane_0-250</t>
  </si>
  <si>
    <t>L_U_Non_Undivided_2Lane_251-400</t>
  </si>
  <si>
    <t>L_U_Non_Undivided_2Lane_401-750</t>
  </si>
  <si>
    <t>L_U_Non_Undivided_2Lane_1501-3500</t>
  </si>
  <si>
    <t>L_U_Non_Undivided_2Lane_3501-7000</t>
  </si>
  <si>
    <t>L_U_Non_Undivided_2Lane_7001+</t>
  </si>
  <si>
    <t>L_U_Non_Divided_2Lane_0-250</t>
  </si>
  <si>
    <t>L_U_Non_Divided_2Lane_251-400</t>
  </si>
  <si>
    <t>L_U_Non_Divided_2Lane_401-750</t>
  </si>
  <si>
    <t>L_U_Non_Divided_2Lane_1501-3500</t>
  </si>
  <si>
    <t>L_U_Non_Divided_2Lane_3501-7000</t>
  </si>
  <si>
    <t>L_U_Non_Divided_2Lane_7001+</t>
  </si>
  <si>
    <t>L_U_Non_Divided_3+Lane_0+</t>
  </si>
  <si>
    <t>L_U_Non_Undivided_3+Lane_0+</t>
  </si>
  <si>
    <t>Bicycle Involved</t>
  </si>
  <si>
    <t>Segment Route / MP</t>
  </si>
  <si>
    <t>SPF Lookup Name</t>
  </si>
  <si>
    <t>Equation</t>
  </si>
  <si>
    <t>KABC Scaler</t>
  </si>
  <si>
    <t>Equation Form</t>
  </si>
  <si>
    <t>Form 1 Num</t>
  </si>
  <si>
    <t>Form 1 Exp Coeff</t>
  </si>
  <si>
    <t>Form 1 AADT Coeff</t>
  </si>
  <si>
    <t>Form 1 End Factor</t>
  </si>
  <si>
    <t>Form 2 Exp Coeff</t>
  </si>
  <si>
    <t>Form 2 AADT Coeff</t>
  </si>
  <si>
    <r>
      <t xml:space="preserve">Row </t>
    </r>
    <r>
      <rPr>
        <u/>
        <sz val="12"/>
        <color theme="1"/>
        <rFont val="Calibri"/>
        <family val="2"/>
        <scheme val="minor"/>
      </rPr>
      <t>needed</t>
    </r>
    <r>
      <rPr>
        <sz val="12"/>
        <color theme="1"/>
        <rFont val="Calibri"/>
        <family val="2"/>
        <scheme val="minor"/>
      </rPr>
      <t xml:space="preserve"> for LookUps</t>
    </r>
  </si>
  <si>
    <t>4.633/(1 + e^-(7.973e-4 * ({AADT} - 16370))) + 1.648</t>
  </si>
  <si>
    <t>41.91/(1 + e^-(3.017e-5 * ({AADT} - 1.034e+5))) + 3.372</t>
  </si>
  <si>
    <t>Form 1</t>
  </si>
  <si>
    <t>Form 2</t>
  </si>
  <si>
    <t>L_R_Non_Undivided_2Lane_751-1500</t>
  </si>
  <si>
    <t>L_R_Non_Divided_2Lane_751-1500</t>
  </si>
  <si>
    <t>L_U_Non_Undivided_2Lane_751-1500</t>
  </si>
  <si>
    <t>L_U_Non_Divided_2Lane_751-1500</t>
  </si>
  <si>
    <t>Local Road, Rural, 1-2 Lanes, 3,501+ AADT</t>
  </si>
  <si>
    <t>Local Road, Urban, 1-2 Lanes, 7,001+ AADT</t>
  </si>
  <si>
    <t>S_R_Free_Undivided_1+Lane_0+</t>
  </si>
  <si>
    <t>S_U_Free_Undivided_1+Lane_0+</t>
  </si>
  <si>
    <t>State Highway, Urban, Non-Freeway, Undivided, 1-2 Lanes, 4,501-7,000 AADT</t>
  </si>
  <si>
    <t>S_U_Non_Undivided_2Lane_7001+</t>
  </si>
  <si>
    <t>Local Road, All Area Types, Any Ramp Type, Any Legs, Roundabout Intersection</t>
  </si>
  <si>
    <t>Local Road, All Area Types, Any Ramp Type, Any Legs, Signalized Intersection</t>
  </si>
  <si>
    <t>Local Road, All Area Types, Any Ramp Type, Any Legs, TWSC or Other Intersection</t>
  </si>
  <si>
    <t>State Highway, All Area Types, Any Ramp Type, 4 Leg, Multi-Way Stop Control</t>
  </si>
  <si>
    <t>State Highway, All Area Types, Any Ramp Type, Any Legs, Other Control</t>
  </si>
  <si>
    <t>State Highway, All Area Types, Any Ramp Type, Any Legs, Roadside Facility</t>
  </si>
  <si>
    <t>State Highway, All Area Types, Any Ramp Type, RCUT Intersection</t>
  </si>
  <si>
    <t>State Highway, All Area Types, Non-Ramp Terminal, 5+ Legs, TWSC Intersection</t>
  </si>
  <si>
    <t>State Highway, Rural, Any Ramp Type, 3+ Legs, AWSC Intersection</t>
  </si>
  <si>
    <t>State Highway, Rural, Any Ramp Type, 3+ Legs, Signalized Intersection</t>
  </si>
  <si>
    <t>State Highway, Rural, Non-Ramp Terminal, 3 Leg, TWSC Intersection</t>
  </si>
  <si>
    <t>State Highway, Rural, Non-Ramp Terminal, 4 Leg, TWSC Intersection</t>
  </si>
  <si>
    <t>State Highway, Rural, Ramp Terminal, 3 Leg, TWSC Intersection</t>
  </si>
  <si>
    <t>State Highway, Rural, Ramp Terminal, 4 Leg, TWSC Intersection</t>
  </si>
  <si>
    <t>State Highway, Urban, Any Ramp Type, 3+ Legs, AWSC Intersection</t>
  </si>
  <si>
    <t>State Highway, Urban, Non-Ramp Terminal, 3 Leg, Signalized Intersection</t>
  </si>
  <si>
    <t>State Highway, Urban, Non-Ramp Terminal, 3 Leg, TWSC Intersection</t>
  </si>
  <si>
    <t>State Highway, Urban, Non-Ramp Terminal, 4 Leg, TWSC Intersection</t>
  </si>
  <si>
    <t>State Highway, Urban, Non-Ramp Terminal, 4+ Legs, Signalized Intersection</t>
  </si>
  <si>
    <t>State Highway, Urban, Ramp Terminal, 3 Leg, Signalized Intersection</t>
  </si>
  <si>
    <t>State Highway, Urban, Ramp Terminal, 3 Leg, TWSC Intersection</t>
  </si>
  <si>
    <t>State Highway, Urban, Ramp Terminal, 4 Leg, TWSC Intersection</t>
  </si>
  <si>
    <t>State Highway, Urban, Ramp Terminal, 4+ Legs, Signalized Intersection</t>
  </si>
  <si>
    <t>0.01221 * {MinAADT}^-0.07828 * {MajAADT}^0.511</t>
  </si>
  <si>
    <t>0.003259 * {MinAADT}^-0.0121 * {MajAADT}^0.6723</t>
  </si>
  <si>
    <t>S_R_Non_3 Leg_TWSC</t>
  </si>
  <si>
    <t>S_R_Non_4 Leg_TWSC</t>
  </si>
  <si>
    <t>S_R_Ramp_3 Leg_TWSC</t>
  </si>
  <si>
    <t>S_R_Ramp_4 Leg_TWSC</t>
  </si>
  <si>
    <t>S_U_Non_3 Leg_TWSC</t>
  </si>
  <si>
    <t>S_U_Non_4 Leg_TWSC</t>
  </si>
  <si>
    <t>S_U_Ramp_3 Leg_TWSC</t>
  </si>
  <si>
    <t>S_U_Ramp_4 Leg_TWSC</t>
  </si>
  <si>
    <t>S_U_Non_3 Leg_Signal</t>
  </si>
  <si>
    <t>S_U_Non_4+ Legs_Signal</t>
  </si>
  <si>
    <t>S_U_Ramp_3 Leg_Signal</t>
  </si>
  <si>
    <t>S_U_Ramp_4+ Legs_Signal</t>
  </si>
  <si>
    <t>Local</t>
  </si>
  <si>
    <t>Non-Ramp</t>
  </si>
  <si>
    <t>Roundabout</t>
  </si>
  <si>
    <t>Signal</t>
  </si>
  <si>
    <t>State</t>
  </si>
  <si>
    <t>4+</t>
  </si>
  <si>
    <t>Multi-Way Stop</t>
  </si>
  <si>
    <t>Other</t>
  </si>
  <si>
    <t>RCUT</t>
  </si>
  <si>
    <t>RAB-Multi</t>
  </si>
  <si>
    <t>RAB-Single</t>
  </si>
  <si>
    <r>
      <t xml:space="preserve">Rows </t>
    </r>
    <r>
      <rPr>
        <u/>
        <sz val="12"/>
        <color theme="1"/>
        <rFont val="Calibri"/>
        <family val="2"/>
        <scheme val="minor"/>
      </rPr>
      <t>needed</t>
    </r>
    <r>
      <rPr>
        <sz val="12"/>
        <color theme="1"/>
        <rFont val="Calibri"/>
        <family val="2"/>
        <scheme val="minor"/>
      </rPr>
      <t xml:space="preserve"> for LookUps</t>
    </r>
  </si>
  <si>
    <t>L_2+ Legs_RAB</t>
  </si>
  <si>
    <t>L_2+ Legs_Signal</t>
  </si>
  <si>
    <t>L_2+ Legs_TWSC</t>
  </si>
  <si>
    <t>S_4 Leg_MWSC</t>
  </si>
  <si>
    <t>RAB Type</t>
  </si>
  <si>
    <t>WisDOT Int. Type</t>
  </si>
  <si>
    <t>Roadside Facility</t>
  </si>
  <si>
    <t>S_2+ Legs_Road</t>
  </si>
  <si>
    <t>Two-Way Stop Control</t>
  </si>
  <si>
    <t>All-Way Stop Control</t>
  </si>
  <si>
    <t>Multilane Roundabout</t>
  </si>
  <si>
    <t>Traffic Signal</t>
  </si>
  <si>
    <t>Single Lane Roundabout</t>
  </si>
  <si>
    <t>Roadside Facility Intersection</t>
  </si>
  <si>
    <t>Restricted Crossing U-Turn</t>
  </si>
  <si>
    <t>State Highway, Rural, Any Ramp Type, 3+ Legs, Multilane Roundabout</t>
  </si>
  <si>
    <t>State Highway, Rural, Any Ramp Type, 3+ Legs, Single Lane Roundabout</t>
  </si>
  <si>
    <t>State Highway, Urban, Any Ramp Type, 3+ Legs, Multilane Roundabout</t>
  </si>
  <si>
    <t>State Highway, Urban, Any Ramp Type, 3+ Legs, Single Lane Roundabout</t>
  </si>
  <si>
    <t>S_2+ Legs_Other</t>
  </si>
  <si>
    <t>S_2+ Legs_RCUT</t>
  </si>
  <si>
    <t>Multi-Way Stop Control</t>
  </si>
  <si>
    <t>S_R_3+ Legs_AWSC</t>
  </si>
  <si>
    <t>S_R_3+ Legs_RAB-Multi</t>
  </si>
  <si>
    <t>S_R_3+ Legs_Signal</t>
  </si>
  <si>
    <t>S_R_3+ Legs_RAB-Single</t>
  </si>
  <si>
    <t>S_Non_5+ Legs_TWSC</t>
  </si>
  <si>
    <t>IX_Type</t>
  </si>
  <si>
    <t>Data</t>
  </si>
  <si>
    <r>
      <t xml:space="preserve">Route / MP
</t>
    </r>
    <r>
      <rPr>
        <sz val="12"/>
        <rFont val="Calibri"/>
        <family val="2"/>
        <scheme val="minor"/>
      </rPr>
      <t>(Description)</t>
    </r>
  </si>
  <si>
    <t>19.43 * {MinAADT}^-0.592 * {MajAADT}^0.3324</t>
  </si>
  <si>
    <t>0.02094 * {MinAADT}^0.04965 * {MajAADT}^0.5428</t>
  </si>
  <si>
    <t>0.1209 * {MinAADT}^0.1174 * {MajAADT}^0.1342</t>
  </si>
  <si>
    <t>7.325e-4 * {MinAADT}^0.2123 * {MajAADT}^0.6508</t>
  </si>
  <si>
    <t>2.389e-4 * {MinAADT}^3.271 * {MajAADT}^-2.448</t>
  </si>
  <si>
    <t>7.166 * {MinAADT}^0.1681 * {MajAADT}^-0.3863</t>
  </si>
  <si>
    <t>0.001449 * {MinAADT}^0.3443 * {MajAADT}^0.4319</t>
  </si>
  <si>
    <t>0.002863 * {MinAADT}^0.4431 * {MajAADT}^0.3272</t>
  </si>
  <si>
    <t>0.01205 * {MinAADT}^0.8388 * {MajAADT}^-0.1206</t>
  </si>
  <si>
    <t>0.002112 * {MinAADT}^0.1753 * {MajAADT}^0.417</t>
  </si>
  <si>
    <t>0.007852 * {MinAADT}^0.2073 * {MajAADT}^0.3281</t>
  </si>
  <si>
    <t>0.00786 * {MinAADT}^2.288 * {MajAADT}^-1.771</t>
  </si>
  <si>
    <t>0.0679 * {MinAADT}^0.391 * {MajAADT}^-0.1053</t>
  </si>
  <si>
    <t>1.553 * {MinAADT}^-0.05098 * {MajAADT}^0.06963</t>
  </si>
  <si>
    <t>0.09803 * {MinAADT}^0.4814 * {MajAADT}^0.01363</t>
  </si>
  <si>
    <t>0.2505 * {MinAADT}^0.04544 * {MajAADT}^0.2074</t>
  </si>
  <si>
    <t>0.004518 * {MinAADT}^0.08873 * {MajAADT}^0.6111</t>
  </si>
  <si>
    <t>0.004514 * {MinAADT}^0.1144 * {MajAADT}^0.4523</t>
  </si>
  <si>
    <t>0.01098 * {MinAADT}^0.1706 * {MajAADT}^0.4982</t>
  </si>
  <si>
    <t>0.185 * {MinAADT}^-0.01439 * {MajAADT}^0.324</t>
  </si>
  <si>
    <t>0.004949 * {MinAADT}^-0.05143 * {MajAADT}^0.5922</t>
  </si>
  <si>
    <t>0.0209 * {MinAADT}^0.2418 * {MajAADT}^0.2285</t>
  </si>
  <si>
    <t>0.6224 * {MinAADT}^0.03414 * {MajAADT}^0.1815</t>
  </si>
  <si>
    <t>0.02115 * {MinAADT}^0.1964 * {MajAADT}^0.3505</t>
  </si>
  <si>
    <t>0.2485 * {MinAADT}^0.2816 * {MajAADT}^-0.01551</t>
  </si>
  <si>
    <t>e^-4.279*{AADT}^0.5565</t>
  </si>
  <si>
    <t>e^-6.605*{AADT}^0.9355</t>
  </si>
  <si>
    <t>e^-9.266*{AADT}^1.322</t>
  </si>
  <si>
    <t>e^-4.743*{AADT}^0.6155</t>
  </si>
  <si>
    <t>e^-4.231*{AADT}^0.5532</t>
  </si>
  <si>
    <t>e^4.047*{AADT}^-0.3932</t>
  </si>
  <si>
    <t>e^-2.052*{AADT}^0.2673</t>
  </si>
  <si>
    <t>e^-1.663*{AADT}^-0.06992</t>
  </si>
  <si>
    <t>e^-3.201*{AADT}^0.6424</t>
  </si>
  <si>
    <t>e^-3.402*{AADT}^0.6743</t>
  </si>
  <si>
    <t>e^-4.307*{AADT}^0.7736</t>
  </si>
  <si>
    <t>e^-4.323*{AADT}^0.7057</t>
  </si>
  <si>
    <t>e^-3.678*{AADT}^0.6134</t>
  </si>
  <si>
    <t>e^-5.889*{AADT}^0.885</t>
  </si>
  <si>
    <t>e^-2.909*{AADT}^0.5835</t>
  </si>
  <si>
    <t>e^-3.288*{AADT}^0.6303</t>
  </si>
  <si>
    <t>e^0.4458*{AADT}^-0.02643</t>
  </si>
  <si>
    <t>e^-2.951*{AADT}^0.4622</t>
  </si>
  <si>
    <t>e^-2.323*{AADT}^0.3324</t>
  </si>
  <si>
    <t>e^0.4387*{AADT}^0.6823</t>
  </si>
  <si>
    <t>e^6.32*{AADT}^-0.707</t>
  </si>
  <si>
    <t>e^-8.771*{AADT}^0.8932</t>
  </si>
  <si>
    <t>e^-9.843*{AADT}^1.023</t>
  </si>
  <si>
    <t>e^-9.646*{AADT}^1.005</t>
  </si>
  <si>
    <t>e^-0.443*{AADT}^-0.0596</t>
  </si>
  <si>
    <t>e^-3.565*{AADT}^0.361</t>
  </si>
  <si>
    <t>e^-2.673*{AADT}^0.2202</t>
  </si>
  <si>
    <t>e^-6.955*{AADT}^0.691</t>
  </si>
  <si>
    <t>e^-2.982*{AADT}^0.2855</t>
  </si>
  <si>
    <t>e^-6.269*{AADT}^0.6219</t>
  </si>
  <si>
    <t>e^-4.99*{AADT}^0.4656</t>
  </si>
  <si>
    <t>e^-6.414*{AADT}^0.6705</t>
  </si>
  <si>
    <t>e^-8.08*{AADT}^0.8587</t>
  </si>
  <si>
    <t>e^-5.503*{AADT}^0.5668</t>
  </si>
  <si>
    <t>e^-8.743*{AADT}^0.9826</t>
  </si>
  <si>
    <t>e^1.493*{AADT}^-0.0906</t>
  </si>
  <si>
    <t>e^-8.483*{AADT}^0.9071</t>
  </si>
  <si>
    <t>e^-11.83*{AADT}^1.221</t>
  </si>
  <si>
    <t>e^-17.73*{AADT}^1.768</t>
  </si>
  <si>
    <t>e^-17.06*{AADT}^1.702</t>
  </si>
  <si>
    <t>e^1.127*{AADT}^-0.07067</t>
  </si>
  <si>
    <t>e^-3.805*{AADT}^0.4094</t>
  </si>
  <si>
    <t>e^-1.424*{AADT}^0.151</t>
  </si>
  <si>
    <t>e^-7.749*{AADT}^0.828</t>
  </si>
  <si>
    <t>e^-5.802*{AADT}^0.6205</t>
  </si>
  <si>
    <t>e^-0.1405*{AADT}^0.1113</t>
  </si>
  <si>
    <t>e^-11.13*{AADT}^1.205</t>
  </si>
  <si>
    <t>e^-4.708*{AADT}^0.5032</t>
  </si>
  <si>
    <t>e^-1.25*{AADT}^0.08619</t>
  </si>
  <si>
    <t>e^-5.688*{AADT}^0.6222</t>
  </si>
  <si>
    <t>e^-7.838*{AADT}^0.8706</t>
  </si>
  <si>
    <t>S_U_3+ Legs_AWSC</t>
  </si>
  <si>
    <t>S_U_3+ Legs_RAB-Multi</t>
  </si>
  <si>
    <t>S_U_3+ Legs_RAB-Single</t>
  </si>
  <si>
    <t>Two-Way Stop</t>
  </si>
  <si>
    <t>Signalized</t>
  </si>
  <si>
    <t>Yield Sign</t>
  </si>
  <si>
    <t>All-Way Stop</t>
  </si>
  <si>
    <t>Uncontrolled</t>
  </si>
  <si>
    <t>Pedestrian Hybrid Beacon (PHB or High-Intensity Activated Crosswalk [HAWK])</t>
  </si>
  <si>
    <t>Flash Beacon (include Rectangular Rapid Flash Beacon)</t>
  </si>
  <si>
    <t xml:space="preserve">Railroad crossing, gates and flashing lights </t>
  </si>
  <si>
    <t>Railroad crossing, flashing lights only</t>
  </si>
  <si>
    <t>Railroad crossing, stop-sign controlled</t>
  </si>
  <si>
    <t>Railroad crossing, crossbucks only</t>
  </si>
  <si>
    <t>T-Intersection</t>
  </si>
  <si>
    <t>Y-Intersection</t>
  </si>
  <si>
    <t>Cross-Intersection (four legs)</t>
  </si>
  <si>
    <t>Five or more legs and not circular</t>
  </si>
  <si>
    <t>Other circular intersection (e.g., rotaries, neighborhood traffic circles)</t>
  </si>
  <si>
    <t>Midblock pedestrian crossing</t>
  </si>
  <si>
    <t>Restricted Crossing U-Turn (RCUT, J-Turn, Superstreet) intersection</t>
  </si>
  <si>
    <t>Median U-Turn (MUT, Michigan Left, Thru-Turn) intersection</t>
  </si>
  <si>
    <t>Displaced left-turn (DLT, continuous flow, CFI) intersection</t>
  </si>
  <si>
    <t>Jughandle (New Jersey jughandle) intersection</t>
  </si>
  <si>
    <t>Continuous green T intersection</t>
  </si>
  <si>
    <t>Quadrant intersection</t>
  </si>
  <si>
    <t>Single-Lane Roundabout</t>
  </si>
  <si>
    <t>Multi-Lane Roundabout</t>
  </si>
  <si>
    <t>INT_Roadway</t>
  </si>
  <si>
    <t>SEG_Roadway</t>
  </si>
  <si>
    <t>TRUE_FALSE</t>
  </si>
  <si>
    <t>RAB_Type</t>
  </si>
  <si>
    <t>Area_Type</t>
  </si>
  <si>
    <r>
      <t xml:space="preserve">Intersection ID / Intersection Name
</t>
    </r>
    <r>
      <rPr>
        <sz val="12"/>
        <rFont val="Calibri"/>
        <family val="2"/>
        <scheme val="minor"/>
      </rPr>
      <t>(Description)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</si>
</sst>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quot;$&quot;#,##0"/>
    <numFmt numFmtId="166" formatCode="#,##0.0"/>
    <numFmt numFmtId="167" formatCode="#,##0.0000"/>
    <numFmt numFmtId="168" formatCode="&quot;$&quot;#,##0.00"/>
    <numFmt numFmtId="169" formatCode="0.0000"/>
  </numFmts>
  <fonts count="20" x14ac:knownFonts="1">
    <font>
      <sz val="12"/>
      <color theme="1"/>
      <name val="Calibri"/>
      <family val="2"/>
      <scheme val="minor"/>
    </font>
    <font>
      <sz val="12"/>
      <name val="Calibri"/>
      <family val="2"/>
      <scheme val="minor"/>
    </font>
    <font>
      <u/>
      <sz val="12"/>
      <color theme="10"/>
      <name val="Calibri"/>
      <family val="2"/>
      <scheme val="minor"/>
    </font>
    <font>
      <u/>
      <sz val="12"/>
      <color theme="11"/>
      <name val="Calibri"/>
      <family val="2"/>
      <scheme val="minor"/>
    </font>
    <font>
      <b/>
      <sz val="16"/>
      <color theme="0"/>
      <name val="Calibri"/>
      <family val="2"/>
      <scheme val="minor"/>
    </font>
    <font>
      <b/>
      <sz val="16"/>
      <name val="Calibri"/>
      <family val="2"/>
      <scheme val="minor"/>
    </font>
    <font>
      <b/>
      <sz val="16"/>
      <color theme="1"/>
      <name val="Calibri"/>
      <family val="2"/>
      <scheme val="minor"/>
    </font>
    <font>
      <sz val="16"/>
      <color theme="1"/>
      <name val="Calibri"/>
      <family val="2"/>
      <scheme val="minor"/>
    </font>
    <font>
      <b/>
      <sz val="14"/>
      <name val="Calibri"/>
      <family val="2"/>
      <scheme val="minor"/>
    </font>
    <font>
      <sz val="8"/>
      <name val="Calibri"/>
      <family val="2"/>
      <scheme val="minor"/>
    </font>
    <font>
      <sz val="24"/>
      <color theme="1"/>
      <name val="Calibri"/>
      <family val="2"/>
      <scheme val="minor"/>
    </font>
    <font>
      <b/>
      <sz val="20"/>
      <color theme="0"/>
      <name val="Calibri"/>
      <family val="2"/>
      <scheme val="minor"/>
    </font>
    <font>
      <u/>
      <sz val="12"/>
      <color theme="1"/>
      <name val="Calibri"/>
      <family val="2"/>
      <scheme val="minor"/>
    </font>
    <font>
      <b/>
      <sz val="12"/>
      <color theme="0"/>
      <name val="Calibri"/>
      <family val="2"/>
      <scheme val="minor"/>
    </font>
    <font>
      <sz val="9"/>
      <color indexed="81"/>
      <name val="Tahoma"/>
      <family val="2"/>
    </font>
    <font>
      <sz val="12"/>
      <color theme="1"/>
      <name val="Calibri"/>
      <family val="2"/>
    </font>
    <font>
      <sz val="10"/>
      <name val="Calibri"/>
      <family val="2"/>
      <scheme val="minor"/>
    </font>
    <font>
      <b/>
      <sz val="9"/>
      <color indexed="81"/>
      <name val="Tahoma"/>
      <family val="2"/>
    </font>
    <font>
      <b/>
      <u/>
      <sz val="9"/>
      <color indexed="81"/>
      <name val="Tahoma"/>
      <family val="2"/>
    </font>
    <font>
      <sz val="12"/>
      <name val="Calibri"/>
      <family val="2"/>
    </font>
  </fonts>
  <fills count="2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1"/>
        <bgColor indexed="64"/>
      </patternFill>
    </fill>
    <fill>
      <patternFill patternType="solid">
        <fgColor theme="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10">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bottom style="thin">
        <color indexed="64"/>
      </bottom>
      <diagonal/>
    </border>
  </borders>
  <cellStyleXfs count="29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29">
    <xf numFmtId="0" fontId="0" fillId="0" borderId="0" xfId="0"/>
    <xf numFmtId="0" fontId="0" fillId="0" borderId="0" xfId="0" applyFill="1"/>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0" fillId="8" borderId="0" xfId="0" applyFill="1"/>
    <xf numFmtId="0" fontId="0" fillId="0" borderId="0" xfId="0" applyAlignment="1">
      <alignment horizontal="center" vertical="center"/>
    </xf>
    <xf numFmtId="0" fontId="8" fillId="2" borderId="1" xfId="0" applyFont="1" applyFill="1" applyBorder="1" applyAlignment="1">
      <alignment horizontal="center" vertical="center" wrapText="1"/>
    </xf>
    <xf numFmtId="164" fontId="0" fillId="0" borderId="0" xfId="0" applyNumberFormat="1" applyFill="1"/>
    <xf numFmtId="0" fontId="10" fillId="8" borderId="0" xfId="0" applyFont="1" applyFill="1" applyAlignment="1"/>
    <xf numFmtId="0" fontId="10" fillId="8" borderId="0" xfId="0" applyFont="1" applyFill="1" applyBorder="1" applyAlignment="1"/>
    <xf numFmtId="0" fontId="0" fillId="0" borderId="0" xfId="0" applyBorder="1"/>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0" fillId="8" borderId="0" xfId="0" applyFill="1" applyBorder="1" applyAlignment="1">
      <alignment horizontal="center" vertical="center"/>
    </xf>
    <xf numFmtId="0" fontId="0" fillId="8" borderId="0" xfId="0" applyFill="1" applyAlignment="1">
      <alignment horizontal="center" vertical="center"/>
    </xf>
    <xf numFmtId="0" fontId="10" fillId="8" borderId="0" xfId="0" applyFont="1" applyFill="1" applyAlignment="1">
      <alignment horizontal="center"/>
    </xf>
    <xf numFmtId="0" fontId="0" fillId="8" borderId="0" xfId="0" applyFill="1" applyBorder="1"/>
    <xf numFmtId="0" fontId="0" fillId="6" borderId="6" xfId="0" applyFill="1" applyBorder="1" applyAlignment="1">
      <alignment horizontal="center" vertical="center" wrapText="1"/>
    </xf>
    <xf numFmtId="0" fontId="0" fillId="4" borderId="6" xfId="0" applyFill="1" applyBorder="1" applyAlignment="1">
      <alignment horizontal="center" vertical="center" wrapText="1"/>
    </xf>
    <xf numFmtId="0" fontId="0" fillId="3" borderId="6" xfId="0" applyFill="1" applyBorder="1" applyAlignment="1">
      <alignment horizontal="center" vertical="center" wrapText="1"/>
    </xf>
    <xf numFmtId="0" fontId="0" fillId="11" borderId="0" xfId="0" applyFill="1" applyAlignment="1">
      <alignment horizontal="center" vertical="center" wrapText="1"/>
    </xf>
    <xf numFmtId="0" fontId="0" fillId="11" borderId="0" xfId="0" applyFill="1" applyAlignment="1">
      <alignment horizontal="center" vertical="center"/>
    </xf>
    <xf numFmtId="0" fontId="0" fillId="11" borderId="4" xfId="0" applyFill="1" applyBorder="1" applyAlignment="1">
      <alignment horizontal="center" vertical="center" wrapText="1"/>
    </xf>
    <xf numFmtId="0" fontId="0" fillId="11" borderId="3" xfId="0" applyFill="1" applyBorder="1" applyAlignment="1">
      <alignment horizontal="center" vertical="center"/>
    </xf>
    <xf numFmtId="0" fontId="0" fillId="4" borderId="7" xfId="0" applyFill="1" applyBorder="1" applyAlignment="1">
      <alignment horizontal="center" vertical="center" wrapText="1"/>
    </xf>
    <xf numFmtId="0" fontId="0" fillId="3" borderId="7" xfId="0" applyFill="1" applyBorder="1" applyAlignment="1">
      <alignment horizontal="center" vertical="center" wrapText="1"/>
    </xf>
    <xf numFmtId="0" fontId="6" fillId="6" borderId="0" xfId="0" applyFont="1" applyFill="1" applyAlignment="1">
      <alignment horizontal="center"/>
    </xf>
    <xf numFmtId="0" fontId="0" fillId="13" borderId="6" xfId="0" applyFill="1" applyBorder="1" applyAlignment="1">
      <alignment horizontal="center" vertical="center" wrapText="1"/>
    </xf>
    <xf numFmtId="0" fontId="0" fillId="13" borderId="0" xfId="0" applyFill="1" applyAlignment="1">
      <alignment horizontal="center" vertical="center" wrapText="1"/>
    </xf>
    <xf numFmtId="0" fontId="0" fillId="13" borderId="0" xfId="0" applyFill="1" applyAlignment="1">
      <alignment horizontal="center" vertical="center"/>
    </xf>
    <xf numFmtId="0" fontId="13" fillId="13" borderId="2" xfId="0" applyFont="1" applyFill="1" applyBorder="1" applyAlignment="1">
      <alignment horizontal="center" vertical="center" textRotation="90"/>
    </xf>
    <xf numFmtId="0" fontId="0" fillId="13" borderId="9"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2" xfId="0" applyFill="1" applyBorder="1" applyAlignment="1">
      <alignment horizontal="center" vertical="center"/>
    </xf>
    <xf numFmtId="0" fontId="0" fillId="5" borderId="6"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6" xfId="0" applyFill="1" applyBorder="1" applyAlignment="1">
      <alignment horizontal="left" vertical="center" wrapText="1"/>
    </xf>
    <xf numFmtId="0" fontId="8" fillId="18"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xf>
    <xf numFmtId="1" fontId="1" fillId="0" borderId="0" xfId="0" applyNumberFormat="1" applyFont="1" applyFill="1" applyBorder="1" applyAlignment="1">
      <alignment horizontal="center"/>
    </xf>
    <xf numFmtId="1" fontId="1" fillId="0" borderId="0" xfId="0" applyNumberFormat="1" applyFont="1" applyFill="1" applyAlignment="1">
      <alignment horizontal="center"/>
    </xf>
    <xf numFmtId="0" fontId="1" fillId="0" borderId="0" xfId="0" applyFont="1" applyFill="1" applyBorder="1" applyAlignment="1"/>
    <xf numFmtId="0" fontId="1" fillId="8" borderId="0" xfId="0" applyFont="1" applyFill="1" applyBorder="1" applyAlignment="1"/>
    <xf numFmtId="165" fontId="0" fillId="0" borderId="0" xfId="0" applyNumberFormat="1"/>
    <xf numFmtId="0" fontId="0" fillId="19" borderId="6" xfId="0" applyFill="1" applyBorder="1" applyAlignment="1">
      <alignment horizontal="center" vertical="center" wrapText="1"/>
    </xf>
    <xf numFmtId="0" fontId="0" fillId="0" borderId="0" xfId="0" applyNumberFormat="1" applyAlignment="1">
      <alignment horizontal="left"/>
    </xf>
    <xf numFmtId="0" fontId="0" fillId="19" borderId="6" xfId="0" applyNumberFormat="1" applyFill="1" applyBorder="1" applyAlignment="1">
      <alignment horizontal="center" vertical="center" wrapText="1"/>
    </xf>
    <xf numFmtId="0" fontId="0" fillId="13" borderId="2" xfId="0" applyFill="1" applyBorder="1" applyAlignment="1">
      <alignment horizontal="center"/>
    </xf>
    <xf numFmtId="0" fontId="0" fillId="11" borderId="0" xfId="0" applyFill="1" applyAlignment="1">
      <alignment horizontal="center"/>
    </xf>
    <xf numFmtId="0" fontId="0" fillId="11" borderId="0" xfId="0" applyNumberFormat="1" applyFill="1" applyAlignment="1">
      <alignment horizontal="center"/>
    </xf>
    <xf numFmtId="0" fontId="10" fillId="8" borderId="0" xfId="0" applyFont="1" applyFill="1" applyAlignment="1">
      <alignment horizontal="left"/>
    </xf>
    <xf numFmtId="0" fontId="0" fillId="3" borderId="0" xfId="0" applyFill="1"/>
    <xf numFmtId="0" fontId="0" fillId="6" borderId="0" xfId="0" applyFill="1"/>
    <xf numFmtId="0" fontId="5" fillId="20" borderId="0" xfId="0" applyFont="1" applyFill="1" applyBorder="1" applyAlignment="1">
      <alignment vertical="center"/>
    </xf>
    <xf numFmtId="0" fontId="8" fillId="5" borderId="1" xfId="0" applyFont="1" applyFill="1" applyBorder="1" applyAlignment="1">
      <alignment horizontal="center" vertical="center" wrapText="1"/>
    </xf>
    <xf numFmtId="0" fontId="5" fillId="3" borderId="0" xfId="0" applyFont="1" applyFill="1" applyBorder="1" applyAlignment="1">
      <alignment vertical="center"/>
    </xf>
    <xf numFmtId="0" fontId="1" fillId="0" borderId="0" xfId="0" applyNumberFormat="1" applyFont="1" applyFill="1" applyBorder="1" applyAlignment="1">
      <alignment horizontal="center"/>
    </xf>
    <xf numFmtId="0" fontId="0" fillId="8" borderId="0" xfId="0" applyFont="1" applyFill="1" applyAlignment="1">
      <alignment horizontal="right" vertical="top"/>
    </xf>
    <xf numFmtId="14" fontId="0" fillId="8" borderId="0" xfId="0" applyNumberFormat="1" applyFont="1" applyFill="1" applyAlignment="1">
      <alignment horizontal="left" vertical="top"/>
    </xf>
    <xf numFmtId="0" fontId="0" fillId="8" borderId="0" xfId="0" applyFont="1" applyFill="1" applyAlignment="1">
      <alignment vertical="top"/>
    </xf>
    <xf numFmtId="0" fontId="0" fillId="8" borderId="0" xfId="0" applyFont="1" applyFill="1" applyAlignment="1">
      <alignment horizontal="center" vertical="top"/>
    </xf>
    <xf numFmtId="0" fontId="0" fillId="8" borderId="0" xfId="0" applyFont="1" applyFill="1" applyBorder="1" applyAlignment="1">
      <alignment vertical="top"/>
    </xf>
    <xf numFmtId="0" fontId="0" fillId="8" borderId="0" xfId="0" applyFont="1" applyFill="1" applyAlignment="1"/>
    <xf numFmtId="0" fontId="0" fillId="0" borderId="0" xfId="0" applyFont="1" applyAlignment="1">
      <alignment vertical="top"/>
    </xf>
    <xf numFmtId="0" fontId="5" fillId="8" borderId="0" xfId="0" applyFont="1" applyFill="1" applyBorder="1" applyAlignment="1">
      <alignment horizontal="center" vertical="center" wrapText="1"/>
    </xf>
    <xf numFmtId="0" fontId="5" fillId="17" borderId="0" xfId="0" applyFont="1" applyFill="1" applyBorder="1" applyAlignment="1">
      <alignment horizontal="center" vertical="center" wrapText="1"/>
    </xf>
    <xf numFmtId="0" fontId="11" fillId="12" borderId="5" xfId="0" applyFont="1" applyFill="1" applyBorder="1" applyAlignment="1">
      <alignment vertical="center"/>
    </xf>
    <xf numFmtId="0" fontId="8" fillId="8" borderId="1" xfId="0" applyFont="1" applyFill="1" applyBorder="1" applyAlignment="1">
      <alignment horizontal="center" vertical="center" wrapText="1"/>
    </xf>
    <xf numFmtId="0" fontId="5" fillId="21" borderId="0" xfId="0" applyFont="1" applyFill="1" applyBorder="1" applyAlignment="1">
      <alignment vertical="center"/>
    </xf>
    <xf numFmtId="0" fontId="5" fillId="6" borderId="0" xfId="0" applyFont="1" applyFill="1" applyBorder="1" applyAlignment="1">
      <alignment vertical="center"/>
    </xf>
    <xf numFmtId="0" fontId="8" fillId="22" borderId="1" xfId="0" applyFont="1" applyFill="1" applyBorder="1" applyAlignment="1">
      <alignment horizontal="center" vertical="center" wrapText="1"/>
    </xf>
    <xf numFmtId="0" fontId="5" fillId="16" borderId="0" xfId="0" applyFont="1" applyFill="1" applyBorder="1" applyAlignment="1">
      <alignment vertical="center"/>
    </xf>
    <xf numFmtId="0" fontId="5" fillId="4" borderId="0" xfId="0" applyFont="1" applyFill="1" applyBorder="1" applyAlignment="1">
      <alignment vertical="center"/>
    </xf>
    <xf numFmtId="0" fontId="11" fillId="14" borderId="5" xfId="0" applyFont="1" applyFill="1" applyBorder="1" applyAlignment="1">
      <alignment vertical="center"/>
    </xf>
    <xf numFmtId="0" fontId="11" fillId="14" borderId="5" xfId="0" applyFont="1" applyFill="1" applyBorder="1" applyAlignment="1">
      <alignment horizontal="center" vertical="center" wrapText="1"/>
    </xf>
    <xf numFmtId="0" fontId="4" fillId="14" borderId="5" xfId="0" applyFont="1" applyFill="1" applyBorder="1" applyAlignment="1">
      <alignment vertical="center"/>
    </xf>
    <xf numFmtId="0" fontId="4" fillId="13" borderId="5" xfId="0" applyFont="1" applyFill="1" applyBorder="1" applyAlignment="1">
      <alignment vertical="center"/>
    </xf>
    <xf numFmtId="49" fontId="0" fillId="0" borderId="0" xfId="0" applyNumberFormat="1" applyAlignment="1">
      <alignment horizontal="center"/>
    </xf>
    <xf numFmtId="0" fontId="0" fillId="20" borderId="0" xfId="0" applyFill="1"/>
    <xf numFmtId="0" fontId="0" fillId="16" borderId="0" xfId="0" applyFill="1"/>
    <xf numFmtId="0" fontId="0" fillId="4" borderId="0" xfId="0" applyFill="1"/>
    <xf numFmtId="0" fontId="1" fillId="0" borderId="0" xfId="0" applyNumberFormat="1" applyFont="1" applyFill="1" applyAlignment="1">
      <alignment horizontal="left" vertical="center"/>
    </xf>
    <xf numFmtId="0" fontId="6" fillId="4" borderId="0" xfId="0" applyFont="1" applyFill="1" applyBorder="1" applyAlignment="1">
      <alignment horizontal="center"/>
    </xf>
    <xf numFmtId="0" fontId="1" fillId="0" borderId="0" xfId="0" applyNumberFormat="1" applyFont="1" applyFill="1" applyBorder="1" applyAlignment="1">
      <alignment horizontal="center" vertical="center"/>
    </xf>
    <xf numFmtId="0" fontId="0" fillId="8" borderId="0" xfId="0" applyFont="1" applyFill="1" applyAlignment="1">
      <alignment horizontal="left" vertical="top"/>
    </xf>
    <xf numFmtId="0" fontId="4" fillId="13" borderId="5" xfId="0" applyFont="1" applyFill="1" applyBorder="1" applyAlignment="1">
      <alignment horizontal="left" vertical="center"/>
    </xf>
    <xf numFmtId="0" fontId="5" fillId="16" borderId="0" xfId="0" applyFont="1" applyFill="1" applyBorder="1" applyAlignment="1">
      <alignment horizontal="left" vertical="center"/>
    </xf>
    <xf numFmtId="0" fontId="1" fillId="0" borderId="0" xfId="0" applyNumberFormat="1" applyFont="1" applyFill="1" applyBorder="1" applyAlignment="1">
      <alignment horizontal="left" vertical="center"/>
    </xf>
    <xf numFmtId="0" fontId="4" fillId="13" borderId="5" xfId="0" applyFont="1" applyFill="1" applyBorder="1" applyAlignment="1">
      <alignment horizontal="center" vertical="center"/>
    </xf>
    <xf numFmtId="0" fontId="5" fillId="16" borderId="0" xfId="0" applyFont="1" applyFill="1" applyBorder="1" applyAlignment="1">
      <alignment horizontal="center" vertical="center"/>
    </xf>
    <xf numFmtId="0" fontId="0" fillId="0" borderId="0" xfId="0" applyFill="1" applyAlignment="1">
      <alignment horizontal="center"/>
    </xf>
    <xf numFmtId="0" fontId="15" fillId="0" borderId="0" xfId="0" applyFont="1" applyAlignment="1">
      <alignment horizontal="center"/>
    </xf>
    <xf numFmtId="0" fontId="15" fillId="0" borderId="0" xfId="0" applyFont="1"/>
    <xf numFmtId="166" fontId="19" fillId="0" borderId="0" xfId="0" applyNumberFormat="1" applyFont="1" applyAlignment="1">
      <alignment horizontal="left" vertical="center"/>
    </xf>
    <xf numFmtId="167" fontId="19" fillId="0" borderId="0" xfId="0" applyNumberFormat="1" applyFont="1" applyAlignment="1">
      <alignment horizontal="center" vertical="center"/>
    </xf>
    <xf numFmtId="166" fontId="19"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1" fillId="0" borderId="0" xfId="0" applyNumberFormat="1" applyFont="1" applyFill="1" applyAlignment="1">
      <alignment horizontal="center"/>
    </xf>
    <xf numFmtId="0" fontId="0" fillId="0" borderId="0" xfId="0" applyAlignment="1">
      <alignment horizontal="center"/>
    </xf>
    <xf numFmtId="167" fontId="19" fillId="7" borderId="0" xfId="0" applyNumberFormat="1" applyFont="1" applyFill="1" applyAlignment="1">
      <alignment horizontal="center" vertical="center"/>
    </xf>
    <xf numFmtId="0" fontId="0" fillId="0" borderId="0" xfId="0" applyAlignment="1"/>
    <xf numFmtId="0" fontId="1" fillId="0" borderId="8" xfId="0" applyNumberFormat="1" applyFont="1" applyFill="1" applyBorder="1" applyAlignment="1">
      <alignment horizontal="center"/>
    </xf>
    <xf numFmtId="168" fontId="1" fillId="0" borderId="0" xfId="0" applyNumberFormat="1" applyFont="1" applyFill="1" applyBorder="1" applyAlignment="1">
      <alignment horizontal="center"/>
    </xf>
    <xf numFmtId="168" fontId="1" fillId="0" borderId="0" xfId="0" applyNumberFormat="1" applyFont="1" applyFill="1" applyAlignment="1">
      <alignment horizontal="center"/>
    </xf>
    <xf numFmtId="16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xf>
    <xf numFmtId="0" fontId="1" fillId="0" borderId="0" xfId="0" applyNumberFormat="1" applyFont="1" applyFill="1" applyAlignment="1">
      <alignment horizontal="left"/>
    </xf>
    <xf numFmtId="169" fontId="1" fillId="0" borderId="0" xfId="0" applyNumberFormat="1" applyFont="1" applyFill="1" applyAlignment="1">
      <alignment horizontal="center" vertical="center"/>
    </xf>
    <xf numFmtId="0" fontId="5" fillId="21" borderId="0" xfId="0" applyFont="1" applyFill="1" applyBorder="1" applyAlignment="1">
      <alignment horizontal="center" vertical="center"/>
    </xf>
    <xf numFmtId="0" fontId="4" fillId="13" borderId="0" xfId="0" applyFont="1" applyFill="1" applyBorder="1" applyAlignment="1">
      <alignment horizontal="center" vertical="center" wrapText="1"/>
    </xf>
    <xf numFmtId="0" fontId="6" fillId="19" borderId="0" xfId="0" applyFont="1" applyFill="1" applyBorder="1" applyAlignment="1">
      <alignment horizontal="center" wrapText="1"/>
    </xf>
    <xf numFmtId="0" fontId="6" fillId="19" borderId="0" xfId="0" applyFont="1" applyFill="1" applyBorder="1" applyAlignment="1">
      <alignment horizontal="center"/>
    </xf>
    <xf numFmtId="0" fontId="0" fillId="7" borderId="0" xfId="0" applyFill="1" applyAlignment="1">
      <alignment horizontal="center" vertical="center" wrapText="1"/>
    </xf>
    <xf numFmtId="0" fontId="6" fillId="4" borderId="3" xfId="0" applyFont="1" applyFill="1" applyBorder="1" applyAlignment="1">
      <alignment horizontal="center"/>
    </xf>
    <xf numFmtId="0" fontId="6" fillId="4" borderId="0" xfId="0" applyFont="1" applyFill="1" applyBorder="1" applyAlignment="1">
      <alignment horizontal="center"/>
    </xf>
    <xf numFmtId="0" fontId="6" fillId="3" borderId="3" xfId="0" applyFont="1" applyFill="1" applyBorder="1" applyAlignment="1">
      <alignment horizontal="center"/>
    </xf>
    <xf numFmtId="0" fontId="6" fillId="3" borderId="0" xfId="0" applyFont="1" applyFill="1" applyBorder="1" applyAlignment="1">
      <alignment horizontal="center"/>
    </xf>
    <xf numFmtId="0" fontId="6" fillId="3" borderId="0" xfId="0" applyFont="1" applyFill="1" applyAlignment="1">
      <alignment horizontal="center"/>
    </xf>
    <xf numFmtId="0" fontId="6" fillId="5" borderId="0" xfId="0" applyFont="1" applyFill="1" applyAlignment="1">
      <alignment horizontal="center"/>
    </xf>
    <xf numFmtId="0" fontId="6" fillId="15" borderId="3" xfId="0" applyFont="1" applyFill="1" applyBorder="1" applyAlignment="1">
      <alignment horizontal="center"/>
    </xf>
    <xf numFmtId="0" fontId="6" fillId="15" borderId="0" xfId="0" applyFont="1" applyFill="1" applyBorder="1" applyAlignment="1">
      <alignment horizontal="center"/>
    </xf>
    <xf numFmtId="0" fontId="6" fillId="19" borderId="0" xfId="0" applyFont="1" applyFill="1" applyAlignment="1">
      <alignment horizontal="center" wrapText="1"/>
    </xf>
    <xf numFmtId="0" fontId="6" fillId="19" borderId="0" xfId="0" applyFont="1" applyFill="1" applyAlignment="1">
      <alignment horizontal="center"/>
    </xf>
    <xf numFmtId="0" fontId="6" fillId="4" borderId="0" xfId="0" applyFont="1" applyFill="1" applyAlignment="1">
      <alignment horizontal="center"/>
    </xf>
    <xf numFmtId="0" fontId="6" fillId="15" borderId="0" xfId="0" applyFont="1" applyFill="1" applyAlignment="1">
      <alignment horizontal="center"/>
    </xf>
  </cellXfs>
  <cellStyles count="29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Normal" xfId="0" builtinId="0"/>
  </cellStyles>
  <dxfs count="137">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border outline="0">
        <bottom style="thin">
          <color indexed="64"/>
        </bottom>
      </border>
    </dxf>
    <dxf>
      <fill>
        <patternFill patternType="solid">
          <fgColor indexed="64"/>
          <bgColor rgb="FFFFFF99"/>
        </patternFill>
      </fill>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indexed="64"/>
        </bottom>
      </border>
    </dxf>
    <dxf>
      <fill>
        <patternFill patternType="solid">
          <fgColor indexed="64"/>
          <bgColor rgb="FFFFFF99"/>
        </patternFill>
      </fill>
      <alignment horizontal="center" vertical="center" textRotation="0" wrapText="1"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dxf>
    <dxf>
      <border outline="0">
        <top style="thin">
          <color rgb="FFBFBFBF"/>
        </top>
      </border>
    </dxf>
    <dxf>
      <font>
        <b val="0"/>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2" formatCode="0.0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dxf>
    <dxf>
      <font>
        <b val="0"/>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dxf>
    <dxf>
      <border outline="0">
        <top style="thin">
          <color rgb="FFBFBFBF"/>
        </top>
      </border>
    </dxf>
    <dxf>
      <font>
        <b val="0"/>
        <strike val="0"/>
        <outline val="0"/>
        <shadow val="0"/>
        <u val="none"/>
        <vertAlign val="baseline"/>
        <sz val="12"/>
        <color auto="1"/>
        <name val="Calibri"/>
        <family val="2"/>
        <scheme val="minor"/>
      </font>
      <fill>
        <patternFill patternType="none">
          <fgColor indexed="64"/>
          <bgColor auto="1"/>
        </patternFill>
      </fill>
      <alignment horizontal="center"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auto="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s>
  <tableStyles count="0" defaultTableStyle="TableStyleMedium9" defaultPivotStyle="PivotStyleMedium4"/>
  <colors>
    <mruColors>
      <color rgb="FF33CCCC"/>
      <color rgb="FFFFFF99"/>
      <color rgb="FF008000"/>
      <color rgb="FF6280A4"/>
      <color rgb="FF008080"/>
      <color rgb="FF006666"/>
      <color rgb="FF009A9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E6B738-07E1-4559-9955-2C3CE5F3220D}" name="Table245" displayName="Table245" ref="A5:AZ47" totalsRowShown="0" headerRowDxfId="136" dataDxfId="134" headerRowBorderDxfId="135" tableBorderDxfId="133">
  <autoFilter ref="A5:AZ47" xr:uid="{C9E6B738-07E1-4559-9955-2C3CE5F3220D}"/>
  <tableColumns count="52">
    <tableColumn id="52" xr3:uid="{35B95989-2996-4F43-83FA-2E9C60D30294}" name="Intersection ID / Intersection Name_x000a_(Description)" dataDxfId="132"/>
    <tableColumn id="70" xr3:uid="{1A5318A5-3828-49F9-B004-3CE73BC8C13E}" name="Region" dataDxfId="131"/>
    <tableColumn id="74" xr3:uid="{2D75334F-5969-4C52-9416-756CDAA5502E}" name="County" dataDxfId="130"/>
    <tableColumn id="73" xr3:uid="{19A7111B-B8D2-479E-A0B3-FE245701988D}" name="Roadway System" dataDxfId="129"/>
    <tableColumn id="3" xr3:uid="{D46053CE-5D13-4232-B7CD-21A1663D7B72}" name="Area Type" dataDxfId="128"/>
    <tableColumn id="48" xr3:uid="{84A6CC95-3980-466F-B99A-0D64C7BC4C16}" name="Ramp Terminal" dataDxfId="127"/>
    <tableColumn id="4" xr3:uid="{CD3C2524-E8FD-4662-AC84-11708FB1518D}" name="Leg Count" dataDxfId="126"/>
    <tableColumn id="5" xr3:uid="{984E89E7-8C91-4B29-83D4-AA72E301FC54}" name="Traffic Control" dataDxfId="125"/>
    <tableColumn id="11" xr3:uid="{34C31F1B-A7D5-47D4-A728-C58D22930E88}" name="IX_Type" dataDxfId="124"/>
    <tableColumn id="15" xr3:uid="{EE3FBA39-90FE-4A64-8A58-DCE3A1079C49}" name="Multi-Way Stop" dataDxfId="123"/>
    <tableColumn id="6" xr3:uid="{F24AFA7E-DF59-4D55-869E-1DA819B8C797}" name="RAB Type" dataDxfId="122"/>
    <tableColumn id="18" xr3:uid="{08EF5F5B-CA90-4286-923C-B93D2A0419AF}" name="Roadside Facility" dataDxfId="121"/>
    <tableColumn id="8" xr3:uid="{ED92E9F4-01BB-4899-87A6-431520B7B1AE}" name="Major AADT" dataDxfId="120"/>
    <tableColumn id="9" xr3:uid="{502B1C09-D9AA-431D-901F-359A2DEBD501}" name="Minor AADT" dataDxfId="119"/>
    <tableColumn id="50" xr3:uid="{59F7D3D8-2816-46DA-AF07-C177116FE5E8}" name="Intersection ID" dataDxfId="118"/>
    <tableColumn id="53" xr3:uid="{CAF2F759-CBDB-4F49-A0D4-125E11D8AB8C}" name="Document Numbers" dataDxfId="117"/>
    <tableColumn id="69" xr3:uid="{A840C214-C0F1-49BB-80BF-8E017732D7B4}" name="Bicycle Involved Crash Count" dataDxfId="116"/>
    <tableColumn id="71" xr3:uid="{B5D0976F-4188-4479-8D88-88A2D008F6BF}" name="Pedestrian Involved Crash Count" dataDxfId="115"/>
    <tableColumn id="64" xr3:uid="{6FEE3903-18A2-48B5-8C9E-D0234F3AB0FA}" name="K" dataDxfId="114"/>
    <tableColumn id="24" xr3:uid="{27F757FE-DAD9-4828-9A89-23A7AEE7EF16}" name="A" dataDxfId="113"/>
    <tableColumn id="25" xr3:uid="{E565BBF2-F015-4976-91F8-E091BB776485}" name="B" dataDxfId="112"/>
    <tableColumn id="27" xr3:uid="{0B330941-1739-4E26-8171-8B1DF42270D2}" name="C" dataDxfId="111"/>
    <tableColumn id="30" xr3:uid="{565E7AC7-C236-4B78-9635-A4E2125C4B4D}" name="O" dataDxfId="110"/>
    <tableColumn id="66" xr3:uid="{913F1697-5C61-4A88-8202-98EAA4554639}" name="Unknown" dataDxfId="109"/>
    <tableColumn id="39" xr3:uid="{F24C3A80-3611-48FD-B336-B97C9D592921}" name="Clean Document Numbers" dataDxfId="108">
      <calculatedColumnFormula>SUBSTITUTE(SUBSTITUTE(SUBSTITUTE(P6,CHAR(34),""),"[", ""),"]", "")</calculatedColumnFormula>
    </tableColumn>
    <tableColumn id="12" xr3:uid="{155FA44D-A373-466A-8057-36B16E2283C2}" name="Screening Years" dataDxfId="107">
      <calculatedColumnFormula>$Z$4</calculatedColumnFormula>
    </tableColumn>
    <tableColumn id="1" xr3:uid="{EC182EE2-4558-47AA-A5A0-C384F2094FA8}" name="WisDOT Int. Type" dataDxfId="106">
      <calculatedColumnFormula>IF($L6=TRUE, "Roadside Facility Intersection",IF($J6="True", "Multi-Way Stop Control",IF($K6="Single-Lane Roundabout", "Single-Lane Roundabout",IF($K6="Multi-Lane Roundabout","Multi-Lane Roundabout",IF($I6="Restricted Crossing U-Turn (RCUT, J-Turn, Superstreet) intersection", "Restricted Crossing U-Turn",IF($H6="Two-Way Stop","Two-Way Stop Control",IF($H6="All-Way Stop","All-Way Stop Control",IF($H6="Signalized","Traffic Signal","Other"))))))))</calculatedColumnFormula>
    </tableColumn>
    <tableColumn id="36" xr3:uid="{65B813AB-2847-4EBA-9744-AD41778902AB}" name="SPF Name" dataDxfId="105">
      <calculatedColumnFormula>VLOOKUP(AC6,IntAWS[],HLOOKUP("AWS Name",IntAWS[],2,FALSE),FALSE)</calculatedColumnFormula>
    </tableColumn>
    <tableColumn id="37" xr3:uid="{C23F6685-2C28-46D4-806E-6CDEA437D050}" name="SPF Lookup Name" dataDxfId="104">
      <calculatedColumnFormula>IF(OR($M6="",$M6&lt;1,$N6="",$N6&lt;1),"Data Error: Check AADTs",IF($AA6="","Data Error: Missing Control",
IF($D6="Local",IF(OR($AA6="Single-Lane Roundabout",$AA6="Multi-Lane Roundabout"), "L_2+ Legs_RAB", IF($AA6="Traffic Signal", "L_2+ Legs_Signal", "L_2+ Legs_TWSC")),
IF($D6="State", IF($AA6="Multi-Way Stop Control","S_4 Leg_MWSC", IF($AA6="Other","S_2+ Legs_Other", IF($AA6="Roadside Facility Intersection","S_2+ Legs_Road", IF($AA6="Restricted Crossing U-Turn","S_2+ Legs_RCUT",
IF($E6="Rural",
IF($AA6="All-Way Stop Control","S_R_3+ Legs_AWSC",IF($AA6="Multi-Lane Roundabout","S_R_3+ Legs_RAB-Multi",IF($AA6="Single-Lane Roundabout","S_R_3+ Legs_RAB-Single",IF($AA6="Traffic Signal","S_R_3+ Legs_Signal",
IF($G6=3,IF($F6="True","S_R_Ramp_3 Leg_TWSC",IF($F6="False","S_R_Non_3 Leg_TWSC","Data Error: Ramp Terminal")),
IF($G6=4,IF($F6="True","S_R_Ramp_4 Leg_TWSC",IF($F6="False","S_R_Non_4 Leg_TWSC","Data Error: Ramp Terminal")),IF($G6&gt;4,"S_Non_5+ Legs_TWSC","Data Error: Leg Count"))))))),
IF($E6="Urban",
IF($AA6="All-Way Stop Control","S_U_3+ Legs_AWSC",IF($AA6="Multi-Lane Roundabout","S_U_3+ Legs_RAB-Multi",IF($AA6="Single-Lane Roundabout","S_U_3+ Legs_RAB-Single",
IF($F6="False",
IF($AA6="Two-Way Stop Control",IF($G6=3,"S_U_Non_3 Leg_TWSC",IF($G6=4,"S_U_Non_4 Leg_TWSC",IF($G6&gt;4,"S_Non_5+ Legs_TWSC","Data Error: Leg Count"))),
IF($AA6="Traffic Signal",IF($G6=3,"S_U_Non_3 Leg_Signal","S_U_Non_4+ Legs_Signal"),"Data Error: WisDOT Int. Type")),
IF($F6="True",
IF($AA6="Two-Way Stop Control",IF($G6=3,"S_U_Ramp_3 Leg_TWSC",IF($G6=4,"S_U_Ramp_4 Leg_TWSC","Data Error: Leg Count")),
IF($AA6="Traffic Signal",IF($G6=3,"S_U_Ramp_3 Leg_Signal","S_U_Ramp_4+ Legs_Signal"),"Data Error: WisDOT Int. Type")),"Data Error: Ramp Terminal"))))),"Data Error: Area Type")))))),"Data Error: Roadway System"))))</calculatedColumnFormula>
    </tableColumn>
    <tableColumn id="7" xr3:uid="{E96F3565-8032-43E7-BD16-FF4E53CCDE9F}" name="KABC Scaler" dataDxfId="103">
      <calculatedColumnFormula>IFERROR(VLOOKUP($AC6,IntAWS[],HLOOKUP("KABC Scaler",IntAWS[],2,FALSE),FALSE),"Data Error")</calculatedColumnFormula>
    </tableColumn>
    <tableColumn id="79" xr3:uid="{1F8450DD-D8FA-4A0A-B709-ED019B501E09}" name="Observed_x000a_(TOTAL)" dataDxfId="102">
      <calculatedColumnFormula>SUM(S6:X6)</calculatedColumnFormula>
    </tableColumn>
    <tableColumn id="56" xr3:uid="{FBE40B79-31A4-4719-A262-7ABE55ECAB41}" name="Predicted_x000a_(TOTAL)" dataDxfId="101">
      <calculatedColumnFormula>$Z6*
(VLOOKUP(AC6,IntAWS[],HLOOKUP("Intercept",IntAWS[],2,FALSE),FALSE))*
($N6^VLOOKUP(AC6,IntAWS[],HLOOKUP("Minor AADT",IntAWS[],2,FALSE),FALSE))*
($M6^VLOOKUP(AC6,IntAWS[],HLOOKUP("Major AADT",IntAWS[],2,FALSE),FALSE))</calculatedColumnFormula>
    </tableColumn>
    <tableColumn id="57" xr3:uid="{27D098D8-64B3-4288-8186-1B10E604693F}" name="Expected_x000a_(TOTAL)" dataDxfId="100">
      <calculatedColumnFormula>((1/(1+VLOOKUP(AC6,IntAWS[],HLOOKUP("Dispersion Parameter",IntAWS[],2,FALSE),FALSE)*AF6))*AF6
+(1-1/(1+VLOOKUP(AC6,IntAWS[],HLOOKUP("Dispersion Parameter",IntAWS[],2,FALSE),FALSE)*AF6))*AE6)</calculatedColumnFormula>
    </tableColumn>
    <tableColumn id="60" xr3:uid="{024C92CF-B837-4A3D-937A-58B822FD2517}" name="Observed_x000a_(KABC)" dataDxfId="99">
      <calculatedColumnFormula>SUM(S6:V6)</calculatedColumnFormula>
    </tableColumn>
    <tableColumn id="61" xr3:uid="{F3155062-BDCD-4630-A1E7-E63739EE8045}" name="Predicted_x000a_(KABC)" dataDxfId="98">
      <calculatedColumnFormula>IFERROR($AD6*$AF6,"Data Error")</calculatedColumnFormula>
    </tableColumn>
    <tableColumn id="62" xr3:uid="{A6C2E080-49C7-4280-8512-98AB1D20CB3B}" name="Expected_x000a_(KABC)" dataDxfId="97">
      <calculatedColumnFormula>((1/(1+VLOOKUP(AC6,IntAWS[],HLOOKUP("Dispersion Parameter",IntAWS[],2,FALSE),FALSE)*AI6))*AI6
+(1-1/(1+VLOOKUP(AC6,IntAWS[],HLOOKUP("Dispersion Parameter",IntAWS[],2,FALSE),FALSE)*AI6))*AH6)</calculatedColumnFormula>
    </tableColumn>
    <tableColumn id="72" xr3:uid="{8CD1F042-01DB-4E7B-A711-A2C97528E108}" name="Intersection ID &amp; Name" dataDxfId="96">
      <calculatedColumnFormula>A6</calculatedColumnFormula>
    </tableColumn>
    <tableColumn id="42" xr3:uid="{84FADA7B-8744-4735-A4B8-BD298ED5B4B0}" name="LOSS_x000a_(TOTAL)" dataDxfId="95">
      <calculatedColumnFormula>IFERROR(IF(AG6&lt;_xlfn.GAMMA.INV($AW$4,AW6,AX6),"LOSS 1",
IF(AG6&lt;AF6,"LOSS 2",
IF(AG6&lt;_xlfn.GAMMA.INV($AY$4,AW6,AX6),"LOSS 3",
IF(AG6&gt;=_xlfn.GAMMA.INV($AY$4,AW6,AX6),"LOSS 4","Error")))),"Missing Data")</calculatedColumnFormula>
    </tableColumn>
    <tableColumn id="46" xr3:uid="{AFE0C7DB-2FEC-41E1-8608-DECB433522CF}" name="PSI_x000a_(TOTAL)" dataDxfId="94">
      <calculatedColumnFormula>IFERROR(AG6-AF6,"Missing Data")</calculatedColumnFormula>
    </tableColumn>
    <tableColumn id="47" xr3:uid="{37D24923-E5E7-43D9-825B-D76CFF520EB4}" name="LOSS_x000a_(KABC)" dataDxfId="93">
      <calculatedColumnFormula>IFERROR(IF(AJ6&lt;_xlfn.GAMMA.INV($AX$4,AY6,AZ6),"LOSS 1",
IF(AJ6&lt;AI6,"LOSS 2",
IF(AJ6&lt;_xlfn.GAMMA.INV($AZ$4,AY6,AZ6),"LOSS 3",
IF(AJ6&gt;=_xlfn.GAMMA.INV($AZ$4,AY6,AZ6),"LOSS 4","Error")))),"Missing Data")</calculatedColumnFormula>
    </tableColumn>
    <tableColumn id="51" xr3:uid="{8944207F-253C-4B51-8BE3-411CF2AD1B7A}" name="PSI_x000a_(KABC)" dataDxfId="92">
      <calculatedColumnFormula>IFERROR(AJ6-AI6,"Missing Data")</calculatedColumnFormula>
    </tableColumn>
    <tableColumn id="55" xr3:uid="{4403BC81-C123-4B84-9A2A-06828F068795}" name="Bicycle Involved" dataDxfId="91">
      <calculatedColumnFormula>Q6</calculatedColumnFormula>
    </tableColumn>
    <tableColumn id="58" xr3:uid="{8FA04DDE-0F5F-4C7E-8E3D-AAD07F265FA5}" name="Pedestrian Involved" dataDxfId="90">
      <calculatedColumnFormula>R6</calculatedColumnFormula>
    </tableColumn>
    <tableColumn id="59" xr3:uid="{3D3DF921-2D63-40A5-97F0-57A374ADDB60}" name="Flagged Location_x000a_(Yes/No)" dataDxfId="89">
      <calculatedColumnFormula>IF(OR(AL6="Missing Data",AM6="Missing Data",AN6="Missing Data",AO6="Missing Data"),"Missing Data",
IF(OR(AP6&gt;0,AQ6&gt;0,AND(AE6&gt;1,OR(AL6="LOSS 4", AN6="LOSS 4"))),"Yes","No"))</calculatedColumnFormula>
    </tableColumn>
    <tableColumn id="68" xr3:uid="{F7237B68-E207-4057-99D6-B3410F1AF6EB}" name="Econ. Impact_x000a_(TOTAL)" dataDxfId="88"/>
    <tableColumn id="63" xr3:uid="{068964A5-E96E-4B5F-839D-2E75A79DBCAE}" name="Econ. Impact_x000a_(KABC)" dataDxfId="87"/>
    <tableColumn id="34" xr3:uid="{3CCE744D-44E4-41F8-A355-DC6FD715F002}" name="TOTAL_x000a_(k)" dataDxfId="86">
      <calculatedColumnFormula>VLOOKUP(AC6,IntAWS[],HLOOKUP("Dispersion Parameter",IntAWS[],2,FALSE),FALSE)</calculatedColumnFormula>
    </tableColumn>
    <tableColumn id="35" xr3:uid="{57ED15D7-A12D-4328-A457-DEC73F990C61}" name="KABC_x000a_(k)" dataDxfId="85">
      <calculatedColumnFormula>VLOOKUP($AC6,IntAWS[],HLOOKUP("Dispersion Parameter",IntAWS[],2,FALSE),FALSE)</calculatedColumnFormula>
    </tableColumn>
    <tableColumn id="43" xr3:uid="{A985811C-B533-4822-9611-38094D6547C6}" name="Alpha_x000a_(Total)" dataDxfId="84">
      <calculatedColumnFormula>1/AU6</calculatedColumnFormula>
    </tableColumn>
    <tableColumn id="44" xr3:uid="{9AB2CCFA-664A-46D2-9D00-10E1E59DF146}" name="Beta_x000a_(Total)" dataDxfId="83">
      <calculatedColumnFormula>AF6/AW6</calculatedColumnFormula>
    </tableColumn>
    <tableColumn id="2" xr3:uid="{007369DF-F1C5-4717-84E8-D24FDF8EA453}" name="Alpha_x000a_(KABC)" dataDxfId="82">
      <calculatedColumnFormula>1/AV6</calculatedColumnFormula>
    </tableColumn>
    <tableColumn id="45" xr3:uid="{D5ABA54D-CA36-47A0-923F-660704EA2773}" name="Beta_x000a_(KABC)" dataDxfId="81">
      <calculatedColumnFormula>AI6/AY6</calculatedColumnFormula>
    </tableColumn>
  </tableColumns>
  <tableStyleInfo name="TableStyleDark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777790-BD86-475A-BE85-60B5CEB75D3D}" name="Table2457" displayName="Table2457" ref="A5:AW79" totalsRowShown="0" headerRowDxfId="80" dataDxfId="78" headerRowBorderDxfId="79" tableBorderDxfId="77">
  <autoFilter ref="A5:AW79" xr:uid="{43777790-BD86-475A-BE85-60B5CEB75D3D}"/>
  <tableColumns count="49">
    <tableColumn id="52" xr3:uid="{5B251D34-E569-4808-82E0-36E90ED358EC}" name="Route / MP_x000a_(Description)" dataDxfId="76"/>
    <tableColumn id="70" xr3:uid="{CAB649EF-5C17-468E-B0DF-A6AE919B4FCA}" name="Region" dataDxfId="75"/>
    <tableColumn id="74" xr3:uid="{D3F198B2-7EA8-4EFA-A19B-A8CC6A0C8E11}" name="County" dataDxfId="74"/>
    <tableColumn id="73" xr3:uid="{8DD19BC5-83A1-44FF-A0FE-48A9729658B1}" name="Roadway System" dataDxfId="73"/>
    <tableColumn id="3" xr3:uid="{AC5F33F2-7A6E-446C-B5F1-F901603DFD03}" name="Area Type" dataDxfId="72"/>
    <tableColumn id="48" xr3:uid="{C08B09E3-5961-4C78-9658-F4ACCD47930A}" name="Freeway/ Non-Freeway" dataDxfId="71"/>
    <tableColumn id="4" xr3:uid="{12EA96BD-4979-49D9-9380-1B74BD89CC15}" name="Divided/ Undivided" dataDxfId="70"/>
    <tableColumn id="15" xr3:uid="{270ACA00-DA7A-485E-B6A6-1DBD23C55D34}" name="Median Type" dataDxfId="69"/>
    <tableColumn id="7" xr3:uid="{D9E7B994-E5B6-474C-8B0D-2D0AF306F699}" name="Number of Lanes" dataDxfId="68"/>
    <tableColumn id="81" xr3:uid="{A053468E-8F5C-485B-9C87-D80E34332986}" name="Segment Length" dataDxfId="67"/>
    <tableColumn id="8" xr3:uid="{6BD0671C-A658-4B1F-917F-437B3F328A84}" name="AADT" dataDxfId="66"/>
    <tableColumn id="77" xr3:uid="{E6D42510-A2B0-4693-9168-AF4483FB577F}" name="Street Name" dataDxfId="65"/>
    <tableColumn id="50" xr3:uid="{014E8A5A-EA52-4E60-B4A5-7B21CEF4E19D}" name="Segment ID" dataDxfId="64"/>
    <tableColumn id="53" xr3:uid="{F2A47231-91EA-4909-A27C-F787900E9E25}" name="Document Numbers" dataDxfId="63"/>
    <tableColumn id="69" xr3:uid="{EE571E90-5CB3-41F1-9FE4-A45CEC4653C9}" name="Bicycle Involved Crash Count" dataDxfId="62"/>
    <tableColumn id="71" xr3:uid="{53C27B63-5A54-44FE-9B65-1A75AA523413}" name="Pedestrian Involved Crash Count" dataDxfId="61"/>
    <tableColumn id="64" xr3:uid="{BC211CAC-F211-495F-B493-34AD20638169}" name="K" dataDxfId="60"/>
    <tableColumn id="24" xr3:uid="{AE678E8D-28BC-4B98-8442-80150C139F6D}" name="A" dataDxfId="59"/>
    <tableColumn id="25" xr3:uid="{DA0C6F9E-F787-48F2-A139-91BF592FE32E}" name="B" dataDxfId="58"/>
    <tableColumn id="27" xr3:uid="{15394517-8663-41DF-8F22-89A861E5BFA6}" name="C" dataDxfId="57"/>
    <tableColumn id="30" xr3:uid="{981CA0AC-71C7-492B-AC5A-144D3701CC00}" name="O" dataDxfId="56"/>
    <tableColumn id="66" xr3:uid="{396D5939-6513-475D-A4C8-9B795E5EF45D}" name="Unknown" dataDxfId="55"/>
    <tableColumn id="39" xr3:uid="{C6FDC794-381B-493B-BC4E-6867C1EE91CC}" name="Clean Document Numbers" dataDxfId="54">
      <calculatedColumnFormula>SUBSTITUTE(SUBSTITUTE(SUBSTITUTE(N6,CHAR(34),""),"[", ""),"]", "")</calculatedColumnFormula>
    </tableColumn>
    <tableColumn id="1" xr3:uid="{9FCF2572-F0D0-4A43-B197-AE30E882A9DE}" name="Screening Years" dataDxfId="53">
      <calculatedColumnFormula>$X$4</calculatedColumnFormula>
    </tableColumn>
    <tableColumn id="36" xr3:uid="{304FD81D-1F6E-488A-99DC-0E3376C5AA00}" name="SPF Name" dataDxfId="52">
      <calculatedColumnFormula>VLOOKUP(Z6,SegAWS[],HLOOKUP("AWS Name",SegAWS[],2,FALSE),FALSE)</calculatedColumnFormula>
    </tableColumn>
    <tableColumn id="37" xr3:uid="{A9E846DF-F978-4A7C-8B24-08A6E4B21A6B}" name="SPF Lookup Name" dataDxfId="51">
      <calculatedColumnFormula>IF(OR($I6=0,$I6=""),"Data Error: Number of Lanes",
IF($D6="Local Road",
IF($E6="Rural",IF($F6="Non-Freeway",
IF($G6="Divided",IF(_xlfn.NUMBERVALUE($I6)&lt;3,IF(_xlfn.NUMBERVALUE($K6)&lt;1,"L_R_DataError",IF(_xlfn.NUMBERVALUE($K6)&lt;251,"L_R_Non_Divided_2Lane_0-250",IF(_xlfn.NUMBERVALUE($K6)&lt;401,"L_R_Non_Divided_2Lane_251-400",IF(_xlfn.NUMBERVALUE($K6)&lt;751,"L_R_Non_Divided_2Lane_401-750",IF(_xlfn.NUMBERVALUE($K6)&lt;1501,"L_R_Non_Divided_2Lane_751-1500",IF(_xlfn.NUMBERVALUE($K6)&lt;3501,"L_R_Non_Divided_2Lane_1501-3500","L_R_Non_Divided_2Lane_3501+")))))),"L_R_Non_Divided_3+Lane_0+"),
IF($G6="Undivided",IF(_xlfn.NUMBERVALUE($I6)&lt;3,IF(_xlfn.NUMBERVALUE($K6)&lt;1,"L_R_DataError",IF(_xlfn.NUMBERVALUE($K6)&lt;251,"L_R_Non_Undivided_2Lane_0-250",IF(_xlfn.NUMBERVALUE($K6)&lt;401,"L_R_Non_Undivided_2Lane_251-400",IF(_xlfn.NUMBERVALUE($K6)&lt;751,"L_R_Non_Undivided_2Lane_401-750",IF(_xlfn.NUMBERVALUE($K6)&lt;1501,"L_R_Non_Undivided_2Lane_751-1500",IF(_xlfn.NUMBERVALUE($K6)&lt;3501,"L_R_Non_Undivided_2Lane_1501-3500","L_R_Non_Undivided_2Lane_3501+")))))),"L_R_Non_Undivided_3+Lane_0+"),"Data Error: Divided/Undivided")),"Data Error: Freeway/Non-Freeway"),
IF($E6="Urban",IF($F6="Non-Freeway",
IF($G6="Divided",IF(_xlfn.NUMBERVALUE($I6)&lt;3,IF(_xlfn.NUMBERVALUE($K6)&lt;1,"L_U_DataError",IF(_xlfn.NUMBERVALUE($K6)&lt;251,"L_U_Non_Divided_2Lane_0-250",IF(_xlfn.NUMBERVALUE($K6)&lt;401,"L_U_Non_Divided_2Lane_251-400",IF(_xlfn.NUMBERVALUE($K6)&lt;751,"L_U_Non_Divided_2Lane_401-750",IF(_xlfn.NUMBERVALUE($K6)&lt;1501,"L_U_Non_Divided_2Lane_751-1500",IF(_xlfn.NUMBERVALUE($K6)&lt;3501,"L_U_Non_Divided_2Lane_1501-3500",IF(_xlfn.NUMBERVALUE($K6)&lt;7001,"L_U_Non_Divided_2Lane_3501-7000","L_U_Non_Divided_2Lane_7001+"))))))),"L_U_Non_Divided_3+Lane_0+"),
IF($G6="Undivided",IF(_xlfn.NUMBERVALUE($I6)&lt;3,IF(_xlfn.NUMBERVALUE($K6)&lt;1,"L_U_DataError",IF(_xlfn.NUMBERVALUE($K6)&lt;251,"L_U_Non_Undivided_2Lane_0-250",IF(_xlfn.NUMBERVALUE($K6)&lt;401,"L_U_Non_Undivided_2Lane_251-400",IF(_xlfn.NUMBERVALUE($K6)&lt;751,"L_U_Non_Undivided_2Lane_401-750",IF(_xlfn.NUMBERVALUE($K6)&lt;1501,"L_U_Non_Undivided_2Lane_751-1500",IF(_xlfn.NUMBERVALUE($K6)&lt;3501,"L_U_Non_Undivided_2Lane_1501-3500",IF(_xlfn.NUMBERVALUE($K6)&lt;7001,"L_U_Non_Undivided_2Lane_3501-7000","L_U_Non_Undivided_2Lane_7001+"))))))),"L_U_Non_Undivided_3+Lane_0+"),"Data Error: Divided/Undivided")),"Data Error: Freeway/Non-Freeway"),"Data Error: Area Type")),
IF($D6="State Highway",
IF($E6="Rural",
IF($F6="Non-Freeway",IF(_xlfn.NUMBERVALUE($K6)&lt;1,"S_R_Non_DataError",IF($H6="TWLTL","S_R_Non_TWLTL_1+Lanes_0+",
IF($G6="Divided",IF(_xlfn.NUMBERVALUE($I6)&lt;3,"S_R_Non_Divided_2Lane_0+",IF(_xlfn.NUMBERVALUE($I6)&lt;5,IF(_xlfn.NUMBERVALUE($K6)&lt;10001,"S_R_Non_Divided_4Lane_0-10000",IF(_xlfn.NUMBERVALUE($K6)&lt;17501,"S_R_Non_Divided_4Lane_10001-17500","S_R_Non_Divided_4Lane_17501+")),"S_R_Non_Divided_5+Lane_0+")),
IF($G6="Undivided",IF(_xlfn.NUMBERVALUE($I6)&lt;3,IF(_xlfn.NUMBERVALUE($K6)&lt;1501,"S_R_Non_Undivided_2Lane_0-1500",IF(_xlfn.NUMBERVALUE($K6)&lt;3501,"S_R_Non_Undivided_2Lane_1501-3500",IF(_xlfn.NUMBERVALUE($K6)&lt;7001,"S_R_Non_Undivided_2Lane_3501-7000","S_R_Non_Undivided_2Lane_7001+"))),"S_R_Non_Undivided_3+Lanes_0+"),"Data Error: Divided/Undivided")))),
IF($F6="Freeway",IF(_xlfn.NUMBERVALUE($K6)&lt;1,"S_R_Free_DataError",
IF($G6="Undivided","S_R_Free_Undivided_1+Lane_0+",
IF($G6="Divided",IF(_xlfn.NUMBERVALUE($I6)&lt;3,"S_R_Free_Divided_2Lane_501+",IF(_xlfn.NUMBERVALUE($I6)&lt;5,IF(_xlfn.NUMBERVALUE($K6)&lt;15001,"S_R_Free_Divided_4Lane_501-15000",IF(_xlfn.NUMBERVALUE($K6)&lt;30001,"S_R_Free_Divided_4Lane_15001-30000","S_R_Free_Divided_4Lane_30001+")),"S_R_Free_Divided_5+Lane_0+")),"Data Error: Divided/Undivided"))),"Data Error: Freeway/Non-Freeway")),
IF($E6="Urban",
IF($F6="Non-Freeway",IF(_xlfn.NUMBERVALUE($K6)&lt;1,"S_U_Non_DataError",IF($H6="TWLTL","S_U_Non_TWLTL_1+Lanes_0+",
IF($G6="Divided",IF(_xlfn.NUMBERVALUE($I6)&lt;3,"S_U_Non_Divided_2Lane_0+",IF(_xlfn.NUMBERVALUE($I6)&lt;5,IF(_xlfn.NUMBERVALUE($K6)&lt;8001,"S_U_Non_Divided_4Lane_0-8000",IF(_xlfn.NUMBERVALUE($K6)&lt;17501,"S_U_Non_Divided_4Lane_8001-17500",IF(_xlfn.NUMBERVALUE($K6)&lt;24001,"S_U_Non_Divided_4Lane_17501-24000","S_U_Non_Divided_4Lane_24001+"))),"S_U_Non_Divided_5+Lane_0+")),
IF($G6="Undivided",IF(_xlfn.NUMBERVALUE($I6)&lt;3,IF(_xlfn.NUMBERVALUE($K6)&lt;4501,"S_U_Non_Undivided_2Lane_0-4500",IF(_xlfn.NUMBERVALUE($K6)&lt;7001,"S_U_Non_Undivided_2Lane_4501-7000","S_U_Non_Undivided_2Lane_7001+")),"S_U_Non_Undivided_4Lane_0+"),"Data Error: Divided/Undivided")))),
IF($F6="Freeway",IF(_xlfn.NUMBERVALUE($K6)&lt;1,"S_U_Free_DataError",
IF($G6="Undivided","S_U_Free_Undivided_1+Lane_0+",
IF($G6="Divided",IF(_xlfn.NUMBERVALUE($I6)&lt;3,"S_U_Free_Divided_2Lane_501+",IF(_xlfn.NUMBERVALUE($I6)&lt;5,IF(_xlfn.NUMBERVALUE($K6)&lt;20001,"S_U_Free_Divided_4Lane_501-20000",IF(_xlfn.NUMBERVALUE($K6)&lt;35001,"S_U_Free_Divided_4Lane_20001-35000","S_U_Free_Divided_4Lane_35001+")),IF(_xlfn.NUMBERVALUE($I6)&lt;7,"S_U_Free_Divided_6Lane_0+","S_U_Free_Divided_7+Lane_0+"))),"Data Error: Divided/Undivided"))),"Data Error: Freeway/Non-Freeway")),"Data Error: Area Type")),"Data Error: Roadway System")))</calculatedColumnFormula>
    </tableColumn>
    <tableColumn id="38" xr3:uid="{2A6D38D4-A10E-45C9-9CF7-D1F78C922377}" name="KABC Scaler" dataDxfId="50">
      <calculatedColumnFormula>IFERROR(VLOOKUP($Z6,SegAWS[],HLOOKUP("KABC Scaler",SegAWS[],2,FALSE),FALSE),"Data Error")</calculatedColumnFormula>
    </tableColumn>
    <tableColumn id="79" xr3:uid="{B1C84212-5694-43EB-BFC1-C2E821C679E9}" name="Observed_x000a_(TOTAL)" dataDxfId="49">
      <calculatedColumnFormula>SUM(Q6:V6)</calculatedColumnFormula>
    </tableColumn>
    <tableColumn id="56" xr3:uid="{1CDA3E74-CC01-4825-9986-8EF10993AB6D}" name="Predicted_x000a_(TOTAL)" dataDxfId="48">
      <calculatedColumnFormula>IF($J6="","Data Error: Segment Length",
IF(VLOOKUP($Z6,SegAWS[],HLOOKUP("Equation Form",SegAWS[],2,FALSE),FALSE)="Form 1",(((VLOOKUP($Z6,SegAWS[],HLOOKUP("Form 1 Num",SegAWS[],2,FALSE),FALSE))/(1 + EXP(-((VLOOKUP($Z6,SegAWS[],HLOOKUP("Form 1 Exp Coeff",SegAWS[],2,FALSE),FALSE))*($K6-(VLOOKUP($Z6,SegAWS[],HLOOKUP("Form 1 AADT Coeff",SegAWS[],2,FALSE),FALSE)))))))+(VLOOKUP($Z6,SegAWS[],HLOOKUP("Form 1 End Factor",SegAWS[],2,FALSE),FALSE)))*$X6*$J6,
IF(VLOOKUP($Z6,SegAWS[],HLOOKUP("Equation Form",SegAWS[],2,FALSE),FALSE)="Form 2",(EXP((VLOOKUP($Z6,SegAWS[],HLOOKUP("Form 2 Exp Coeff",SegAWS[],2,FALSE),FALSE)))*($K6^(VLOOKUP($Z6,SegAWS[],HLOOKUP("Form 2 AADT Coeff",SegAWS[],2,FALSE),FALSE))))*$X6*$J6,"Data Error: SPF Lookup Name")))</calculatedColumnFormula>
    </tableColumn>
    <tableColumn id="57" xr3:uid="{E9B996CB-905C-4608-8F4C-B2DC28C8441C}" name="Expected_x000a_(TOTAL)" dataDxfId="47">
      <calculatedColumnFormula>((1/(1+VLOOKUP($Z6,SegAWS[],HLOOKUP("Dispersion Parameter",SegAWS[],2,FALSE),FALSE)*AC6))*AC6
+(1-1/(1+VLOOKUP($Z6,SegAWS[],HLOOKUP("Dispersion Parameter",SegAWS[],2,FALSE),FALSE)*AC6))*AB6)</calculatedColumnFormula>
    </tableColumn>
    <tableColumn id="60" xr3:uid="{D2482060-301A-4B23-92F0-BE45AD2E1B2C}" name="Observed_x000a_(KABC)" dataDxfId="46">
      <calculatedColumnFormula>SUM(Q6:T6)</calculatedColumnFormula>
    </tableColumn>
    <tableColumn id="61" xr3:uid="{5FD0EE55-D82B-480C-88D0-56A767CBECED}" name="Predicted_x000a_(KABC)" dataDxfId="45">
      <calculatedColumnFormula>$AC6*$AA6</calculatedColumnFormula>
    </tableColumn>
    <tableColumn id="62" xr3:uid="{09A0D561-DEDD-4B15-8202-875A94C06F79}" name="Expected_x000a_(KABC)" dataDxfId="44">
      <calculatedColumnFormula>((1/(1+VLOOKUP($Z6,SegAWS[],HLOOKUP("Dispersion Parameter",SegAWS[],2,FALSE),FALSE)*AF6))*AF6
+(1-1/(1+VLOOKUP($Z6,SegAWS[],HLOOKUP("Dispersion Parameter",SegAWS[],2,FALSE),FALSE)*AF6))*AE6)</calculatedColumnFormula>
    </tableColumn>
    <tableColumn id="72" xr3:uid="{BDAE2A31-A9B7-447E-97E5-17A7E2A958CC}" name="Segment Route / MP" dataDxfId="43">
      <calculatedColumnFormula>A6</calculatedColumnFormula>
    </tableColumn>
    <tableColumn id="42" xr3:uid="{202E2CCD-66A7-4365-905F-4CFF818B8107}" name="LOSS_x000a_(TOTAL)" dataDxfId="42">
      <calculatedColumnFormula>IFERROR(IF(AD6&lt;_xlfn.GAMMA.INV($AT$4,AT6,AU6),"LOSS 1",
IF(AD6&lt;AC6,"LOSS 2",
IF(AD6&lt;_xlfn.GAMMA.INV($AV$4,AT6,AU6),"LOSS 3",
IF(AD6&gt;=_xlfn.GAMMA.INV($AV$4,AT6,AU6),"LOSS 4","Error")))),"Missing Data")</calculatedColumnFormula>
    </tableColumn>
    <tableColumn id="46" xr3:uid="{9878842E-25BF-4BE8-84FF-9245E570C883}" name="PSI_x000a_(TOTAL)" dataDxfId="41">
      <calculatedColumnFormula>IFERROR(AD6-AC6,"Missing Data")</calculatedColumnFormula>
    </tableColumn>
    <tableColumn id="47" xr3:uid="{C20DFA72-6B7A-43FA-B08C-A85D189A5811}" name="LOSS_x000a_(KABC)" dataDxfId="40">
      <calculatedColumnFormula>IFERROR(IF(AG6&lt;_xlfn.GAMMA.INV($AU$4,AV6,AW6),"LOSS 1",
IF(AG6&lt;AF6,"LOSS 2",
IF(AG6&lt;_xlfn.GAMMA.INV($AW$4,AV6,AW6),"LOSS 3",
IF(AG6&gt;=_xlfn.GAMMA.INV($AW$4,AV6,AW6),"LOSS 4","Error")))),"Missing Data")</calculatedColumnFormula>
    </tableColumn>
    <tableColumn id="51" xr3:uid="{DFAB445C-48F8-4D01-98C8-041AB3AF114F}" name="PSI_x000a_(KABC)" dataDxfId="39">
      <calculatedColumnFormula>IFERROR(AG6-AF6,"Missing Data")</calculatedColumnFormula>
    </tableColumn>
    <tableColumn id="55" xr3:uid="{AE61120B-EF9E-4B9C-A46A-0F3A21E41B80}" name="Bicycle Involved" dataDxfId="38">
      <calculatedColumnFormula>O6</calculatedColumnFormula>
    </tableColumn>
    <tableColumn id="58" xr3:uid="{4037712F-9159-476B-8949-A433ACAF01A5}" name="Pedestrian Involved" dataDxfId="37">
      <calculatedColumnFormula>P6</calculatedColumnFormula>
    </tableColumn>
    <tableColumn id="59" xr3:uid="{D9C7187D-D24A-4E7E-AC33-93891DF58DD6}" name="Flagged Location_x000a_(Yes/No)" dataDxfId="36">
      <calculatedColumnFormula>IF(OR(AI6="Missing Data",AJ6="Missing Data",AK6="Missing Data",AL6="Missing Data"),"Missing Data",
IF(OR(AM6&gt;0,AN6&gt;0,AND(AB6&gt;1,OR(AI6="LOSS 4", AK6="LOSS 4"))),"Yes","No"))</calculatedColumnFormula>
    </tableColumn>
    <tableColumn id="68" xr3:uid="{E96E4690-4B41-4A0C-9E8A-AE3C736220E4}" name="Econ. Impact_x000a_(TOTAL)" dataDxfId="35"/>
    <tableColumn id="63" xr3:uid="{DF5467AF-3FB6-4386-B08F-8CB02BE53651}" name="Econ. Impact_x000a_(KABC)" dataDxfId="34"/>
    <tableColumn id="34" xr3:uid="{3F8EC36A-5258-491E-A180-F9FE4CCEB1B1}" name="TOTAL_x000a_(k)" dataDxfId="33">
      <calculatedColumnFormula>VLOOKUP($Z6,SegAWS[],HLOOKUP("Dispersion Parameter",SegAWS[],2,FALSE),FALSE)</calculatedColumnFormula>
    </tableColumn>
    <tableColumn id="35" xr3:uid="{5AE1CC6C-0FEB-4EB6-90E0-2DF13D844287}" name="KABC_x000a_(k)" dataDxfId="32">
      <calculatedColumnFormula>VLOOKUP($Z6,SegAWS[],HLOOKUP("Dispersion Parameter",SegAWS[],2,FALSE),FALSE)</calculatedColumnFormula>
    </tableColumn>
    <tableColumn id="43" xr3:uid="{1BD31539-55C7-44F5-AAB2-336902C296AC}" name="Alpha_x000a_(Total)" dataDxfId="31">
      <calculatedColumnFormula>1/AR6</calculatedColumnFormula>
    </tableColumn>
    <tableColumn id="44" xr3:uid="{7F496BFB-07B6-42EB-8B9D-B918C3FD24FE}" name="Beta_x000a_(Total)" dataDxfId="30">
      <calculatedColumnFormula>AC6/AT6</calculatedColumnFormula>
    </tableColumn>
    <tableColumn id="2" xr3:uid="{5248B93C-EEDE-45BC-9C4C-A8B0E881D2A1}" name="Alpha_x000a_(KABC)" dataDxfId="29">
      <calculatedColumnFormula>1/AS6</calculatedColumnFormula>
    </tableColumn>
    <tableColumn id="45" xr3:uid="{0647FC41-9A79-4E10-94DD-0C27CBD3FEEF}" name="Beta_x000a_(KABC)" dataDxfId="28">
      <calculatedColumnFormula>AF6/AV6</calculatedColumnFormula>
    </tableColumn>
  </tableColumns>
  <tableStyleInfo name="TableStyleDark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72854A-9EFF-4EE0-B0D4-87A6B5CF82D3}" name="IntAWS" displayName="IntAWS" ref="B3:AW32" totalsRowShown="0" headerRowDxfId="27" headerRowBorderDxfId="26">
  <autoFilter ref="B3:AW32" xr:uid="{B472854A-9EFF-4EE0-B0D4-87A6B5CF82D3}"/>
  <tableColumns count="48">
    <tableColumn id="1" xr3:uid="{63A8BDAE-3061-4EDE-B481-146FDE120EB7}" name="SPF Name"/>
    <tableColumn id="2" xr3:uid="{355D6663-E838-4835-AC09-FD2D517CF1E9}" name="AWS Name"/>
    <tableColumn id="3" xr3:uid="{B6D983D1-1896-4FD4-B078-D9E486F2362A}" name="Roadway System"/>
    <tableColumn id="4" xr3:uid="{3BBF96BC-097C-4738-8F5D-D79A1690A094}" name="Area Type"/>
    <tableColumn id="5" xr3:uid="{D58633A9-FAF9-4C50-8B1D-B71E424E55ED}" name="Ramp Terminal"/>
    <tableColumn id="6" xr3:uid="{D96186A8-89F5-4FD9-94C7-02BD645DEDAF}" name="Number of Legs" dataDxfId="25"/>
    <tableColumn id="7" xr3:uid="{AB5FE885-085F-4691-A31A-BB57096AB7F2}" name="Traffic Control"/>
    <tableColumn id="8" xr3:uid="{3B7C63D4-2FF1-4BA6-A65F-F2F44A316AF4}" name="Multi-Way Stop"/>
    <tableColumn id="47" xr3:uid="{0A6584FE-1EEF-4085-AD46-9E7A82DB07F8}" name="Roadside Facility"/>
    <tableColumn id="48" xr3:uid="{60CB6ECD-1010-4F3E-9AA3-B788D36959A9}" name="WisDOT Int. Type"/>
    <tableColumn id="9" xr3:uid="{5DC01ACD-8C8C-4E66-8E3D-B8A16F0636FF}" name="1"/>
    <tableColumn id="10" xr3:uid="{69C714D9-2BE2-4EA8-AD03-65B44F55CFC2}" name="Equation"/>
    <tableColumn id="11" xr3:uid="{7ACB594E-F095-479A-970E-AC6C757B9317}" name="Intercept" dataDxfId="24"/>
    <tableColumn id="12" xr3:uid="{82F1230F-7CFD-4A2C-A303-6608F7263FF8}" name="Minor AADT" dataDxfId="23"/>
    <tableColumn id="13" xr3:uid="{542A46F6-3D58-49DF-8E6A-755F0B660B03}" name="Major AADT" dataDxfId="22"/>
    <tableColumn id="14" xr3:uid="{BA0F641E-A57C-4DF9-B0CF-9CCA254C7492}" name="KABC Scaler" dataDxfId="21"/>
    <tableColumn id="15" xr3:uid="{5DCA476D-B31D-4312-8552-E2BCADA50C17}" name="Dispersion Parameter" dataDxfId="20"/>
    <tableColumn id="16" xr3:uid="{5B85A1A9-D0C3-4D08-A2B3-D61A3C4711AF}" name="2"/>
    <tableColumn id="17" xr3:uid="{C4C34E5D-61DF-48A8-BDEC-2D4AEEEDD133}" name="Intercept S.E."/>
    <tableColumn id="18" xr3:uid="{474C5284-5D3D-459C-A63C-C9B44F0B6FFC}" name="Major AADT S.E."/>
    <tableColumn id="19" xr3:uid="{E39F3484-1F37-4F1E-8E76-55DCA11C24DB}" name="Minor AADT S.E."/>
    <tableColumn id="20" xr3:uid="{83DE68A8-445C-484C-952A-E05BB40D6A8D}" name="Total AADT S.E."/>
    <tableColumn id="21" xr3:uid="{C7723923-B028-4A46-9E10-4E8EA3218E66}" name="Median Type S.E."/>
    <tableColumn id="22" xr3:uid="{E796319C-3631-429C-9415-BF83A4919D91}" name="RAMPS S.E."/>
    <tableColumn id="23" xr3:uid="{9200CC6E-522F-43F2-921B-B26AB3FF96CF}" name="Dispersion Parameter S.E."/>
    <tableColumn id="24" xr3:uid="{31EE7C90-A4D2-4E5A-8D1F-E4164208E62E}" name="Number of Sites"/>
    <tableColumn id="25" xr3:uid="{9FEBEA54-655E-46E3-8B84-9DD3C16049D1}" name="Min. Major AADT"/>
    <tableColumn id="26" xr3:uid="{B04B0831-07FF-47D8-B813-4DA0B22EBB99}" name="Max. Major AADT"/>
    <tableColumn id="27" xr3:uid="{3BA8E636-3E4E-4760-A410-3208A4FBC59B}" name="Min. Minor AADT"/>
    <tableColumn id="28" xr3:uid="{516F7D1D-76BB-44C3-B584-E8CC7CE47F4A}" name="Max. Minor AADT"/>
    <tableColumn id="29" xr3:uid="{A7D255E4-8141-441C-BF12-381323597296}" name="3"/>
    <tableColumn id="30" xr3:uid="{01F00BAE-D38C-43DD-A70E-92CBE5B5AB27}" name="SPF Group"/>
    <tableColumn id="31" xr3:uid="{382E3192-F660-4AEF-B556-B3E3838ACC3A}" name="Model Form (Report)"/>
    <tableColumn id="32" xr3:uid="{4B47601D-C622-4BCE-8D91-662E2228D4D6}" name="Model Form (Spreadsheet)"/>
    <tableColumn id="33" xr3:uid="{818BCA51-F716-4965-BC1E-2141CB1A3E8C}" name="Notes"/>
    <tableColumn id="34" xr3:uid="{A33A90E7-12A7-479E-A7D3-57EA81092922}" name="32"/>
    <tableColumn id="35" xr3:uid="{D45BF283-DB67-43E8-A444-DEF04B71ED46}" name="K - Crashes"/>
    <tableColumn id="36" xr3:uid="{057639AB-7CF7-481D-9817-4A1CB62E0686}" name="A - Crashes"/>
    <tableColumn id="37" xr3:uid="{40CCCB8F-58D4-4FB9-9F2E-3B42E1DFD20B}" name="B - Crashes"/>
    <tableColumn id="38" xr3:uid="{5322F0BD-E6FD-417E-AAC8-4946C7F17B98}" name="C - Crashes"/>
    <tableColumn id="39" xr3:uid="{D7DDB4A0-CBF9-4EFB-8F15-2A15431891E9}" name="O - Crashes"/>
    <tableColumn id="40" xr3:uid="{7FE50DC1-7C3F-46C0-9B5E-B3F379124339}" name="Total"/>
    <tableColumn id="41" xr3:uid="{545239EE-0C8C-4B81-909F-702F79E29462}" name="K - Prop"/>
    <tableColumn id="42" xr3:uid="{A30ABD37-1F1C-44CC-92B1-67C3DA934CBD}" name="A - Prop"/>
    <tableColumn id="43" xr3:uid="{11CC5B7F-6224-42BF-AA00-0413E91C1F63}" name="B - Prop"/>
    <tableColumn id="44" xr3:uid="{B1E5522F-328B-412F-8B58-DB31E9F80328}" name="C - Prop"/>
    <tableColumn id="45" xr3:uid="{4289CC07-9CC8-4B70-95CE-31706E9217EE}" name="O - Prop"/>
    <tableColumn id="46" xr3:uid="{2A0AB0EB-FE0C-48D8-BAF8-86C509D88E86}" name="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8F2053-B417-4232-8266-966BAF4B0E77}" name="SegAWS" displayName="SegAWS" ref="B2:AW75" totalsRowShown="0" headerRowDxfId="19" headerRowBorderDxfId="18">
  <autoFilter ref="B2:AW75" xr:uid="{468F2053-B417-4232-8266-966BAF4B0E77}"/>
  <tableColumns count="48">
    <tableColumn id="1" xr3:uid="{946F5CE2-6E49-4B73-B1C7-F37C14A4B461}" name="SPF Name"/>
    <tableColumn id="2" xr3:uid="{9641F7F9-2D8E-4B15-A101-04AFC86E28D1}" name="AWS Name" dataDxfId="17"/>
    <tableColumn id="3" xr3:uid="{C431EE1E-A55D-49EF-8942-3EC4CFBC90A7}" name="Roadway System" dataDxfId="16"/>
    <tableColumn id="4" xr3:uid="{5B5D5412-8E21-4484-A63E-364E2BD7E936}" name="Area Type" dataDxfId="15"/>
    <tableColumn id="5" xr3:uid="{569974D1-F335-4AC2-A4A2-5A630573CEFB}" name="Freeway/ Non-Freeway" dataDxfId="14"/>
    <tableColumn id="6" xr3:uid="{BEB17749-7D14-4E7B-8B0E-8F80DCC6E454}" name="Divided/ Undivided" dataDxfId="13"/>
    <tableColumn id="7" xr3:uid="{88A81D11-C8B1-406E-9853-86AFC2BD7B2D}" name="Median Type" dataDxfId="12"/>
    <tableColumn id="8" xr3:uid="{4AA411FB-4A66-412F-A938-AE6154066F0B}" name="Number of Lanes" dataDxfId="11"/>
    <tableColumn id="9" xr3:uid="{F35C84D7-FDC7-44A4-8124-4F7C1155FECD}" name="AADT Min" dataDxfId="10"/>
    <tableColumn id="10" xr3:uid="{619AF5E5-E3CF-4CE1-95C5-56F52F426EE6}" name="AADT Max" dataDxfId="9"/>
    <tableColumn id="11" xr3:uid="{0913D415-F883-4ECE-B356-C43487260F87}" name="1"/>
    <tableColumn id="12" xr3:uid="{A3C78096-E7DC-4A1A-83CC-8C3ABB93AAC9}" name="Equation"/>
    <tableColumn id="42" xr3:uid="{FDEFCD7F-D492-48F0-A353-A2316968F231}" name="Equation Form" dataDxfId="8"/>
    <tableColumn id="43" xr3:uid="{B64C33D6-5A1D-4061-A873-B75A0811A9E6}" name="Form 1 Num" dataDxfId="7"/>
    <tableColumn id="44" xr3:uid="{1A607EEE-B1B9-4B04-9A9C-EA868680B024}" name="Form 1 Exp Coeff" dataDxfId="6"/>
    <tableColumn id="45" xr3:uid="{D481DE4F-1B55-4E53-9DB5-CD2C72D951A7}" name="Form 1 AADT Coeff" dataDxfId="5"/>
    <tableColumn id="46" xr3:uid="{09EF0CFB-DDD0-43A8-9D75-583B8C5302B2}" name="Form 1 End Factor" dataDxfId="4"/>
    <tableColumn id="47" xr3:uid="{E47DC88D-CA3C-4860-B79A-D005BDBFF244}" name="Form 2 Exp Coeff" dataDxfId="3"/>
    <tableColumn id="48" xr3:uid="{5F937525-D13F-4C84-BAA4-7C90844C345D}" name="Form 2 AADT Coeff" dataDxfId="2"/>
    <tableColumn id="13" xr3:uid="{54F6318B-BFB7-440A-8D21-A53EC4083D56}" name="KABC Scaler" dataDxfId="1"/>
    <tableColumn id="14" xr3:uid="{BA999499-144C-4514-8BBC-B70B31DE01C9}" name="Dispersion Parameter" dataDxfId="0"/>
    <tableColumn id="15" xr3:uid="{DBF1AAF3-ED92-472E-9401-3F208859A957}" name="2"/>
    <tableColumn id="16" xr3:uid="{6F246906-B185-4107-ADAD-CD68DC83EE51}" name="Intercept S.E."/>
    <tableColumn id="17" xr3:uid="{36E0CD93-5099-4350-802C-E3FB680B86B8}" name="AADT S.E."/>
    <tableColumn id="18" xr3:uid="{4158C00A-8FDC-4F82-B265-CC3DC9210F6B}" name="Dispersion Parameter S.E."/>
    <tableColumn id="19" xr3:uid="{82A8D992-F7CF-4C62-8988-7AEB9C12DAF5}" name="Number of Sites"/>
    <tableColumn id="20" xr3:uid="{8FB33DD8-BFD9-4A49-A83D-49CB10EAD439}" name="Min. Major AADT"/>
    <tableColumn id="21" xr3:uid="{EB88DEF9-DF1E-4DEE-8A02-A969125A6E9D}" name="Max. Major AADT"/>
    <tableColumn id="22" xr3:uid="{8D0B5184-E6A6-4556-B5A9-D52CD2DD2242}" name="Min. Minor AADT"/>
    <tableColumn id="23" xr3:uid="{FFEB5B86-A93A-491D-9A1D-BE1BDD0B978B}" name="Max. Minor AADT"/>
    <tableColumn id="24" xr3:uid="{C6F74F68-2970-4621-BE7A-EAD44E432331}" name="3"/>
    <tableColumn id="25" xr3:uid="{CA9BFB5F-9A5E-4365-86B2-CB72E3E46DB1}" name="SPF Group"/>
    <tableColumn id="26" xr3:uid="{D45A8DFA-AD03-4AE2-A426-293FBD325410}" name="Model Form (Report)"/>
    <tableColumn id="27" xr3:uid="{C068CB8D-B3A7-4438-83AB-45DF222EDEF8}" name="Model Form (Spreadsheet)"/>
    <tableColumn id="28" xr3:uid="{C3A902EF-F0BC-4615-AE57-8C5556F827F5}" name="Notes"/>
    <tableColumn id="29" xr3:uid="{A2C47F3E-E5F9-438B-AEFA-EA717AA0CA94}" name="32"/>
    <tableColumn id="30" xr3:uid="{42E3C8AB-F57B-4CE6-9A0E-75D87AB4BB01}" name="K - Crashes"/>
    <tableColumn id="31" xr3:uid="{32F3DFE0-45C8-41A8-9E4D-9A2C11B106B7}" name="A - Crashes"/>
    <tableColumn id="32" xr3:uid="{6BAC07D1-C71B-48B0-BCC9-F8EBCB10D9BF}" name="B - Crashes"/>
    <tableColumn id="33" xr3:uid="{E7AD2239-B50C-49E4-9F8B-C068F65E3192}" name="C - Crashes"/>
    <tableColumn id="34" xr3:uid="{421B548C-7844-467A-8998-2B3FAF75C590}" name="O - Crashes"/>
    <tableColumn id="35" xr3:uid="{E59C01A2-3418-4FAA-AE64-F4EDB005C082}" name="Total"/>
    <tableColumn id="36" xr3:uid="{CE9802C2-EEF1-4431-84DA-E1B4F96A3E5E}" name="K - Prop"/>
    <tableColumn id="37" xr3:uid="{95BD1720-3A42-4012-AEB0-6A203C4DEF3F}" name="A - Prop"/>
    <tableColumn id="38" xr3:uid="{D533F3FA-3D21-4DD9-8B3D-0587D0ADB78B}" name="B - Prop"/>
    <tableColumn id="39" xr3:uid="{E438C77E-B11F-4612-B7DE-402CC45007A0}" name="C - Prop"/>
    <tableColumn id="40" xr3:uid="{A0A8FBED-414F-4989-BD80-DDC2840DEA44}" name="O - Prop"/>
    <tableColumn id="41" xr3:uid="{8945633A-7C1F-4078-B4EC-5D9DE0670A36}" name="3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05B9-413E-45BD-8083-06EA57E7404E}">
  <dimension ref="A1:BE47"/>
  <sheetViews>
    <sheetView tabSelected="1" zoomScale="80" zoomScaleNormal="80" workbookViewId="0">
      <selection activeCell="A6" sqref="A6"/>
    </sheetView>
  </sheetViews>
  <sheetFormatPr defaultRowHeight="15.6" outlineLevelCol="1" x14ac:dyDescent="0.3"/>
  <cols>
    <col min="1" max="1" width="46.8984375" customWidth="1"/>
    <col min="2" max="3" width="11.19921875" customWidth="1"/>
    <col min="4" max="4" width="11.5" customWidth="1"/>
    <col min="5" max="5" width="9.5" customWidth="1"/>
    <col min="6" max="6" width="10" customWidth="1"/>
    <col min="7" max="7" width="9.5" customWidth="1"/>
    <col min="8" max="8" width="15" bestFit="1" customWidth="1"/>
    <col min="9" max="9" width="15.09765625" bestFit="1" customWidth="1"/>
    <col min="10" max="10" width="9.5" customWidth="1"/>
    <col min="11" max="11" width="22" bestFit="1" customWidth="1"/>
    <col min="12" max="12" width="10.59765625" customWidth="1"/>
    <col min="13" max="14" width="9.5" style="3" customWidth="1"/>
    <col min="15" max="15" width="13.3984375" customWidth="1"/>
    <col min="16" max="16" width="11.3984375" customWidth="1"/>
    <col min="17" max="18" width="13.5" customWidth="1"/>
    <col min="19" max="25" width="11.19921875" customWidth="1"/>
    <col min="26" max="26" width="11.3984375" customWidth="1"/>
    <col min="27" max="27" width="27.09765625" bestFit="1" customWidth="1"/>
    <col min="28" max="28" width="23" style="2" customWidth="1"/>
    <col min="29" max="29" width="27.5" style="3" customWidth="1"/>
    <col min="30" max="30" width="19.69921875" customWidth="1"/>
    <col min="31" max="31" width="10.8984375" customWidth="1"/>
    <col min="32" max="32" width="10.69921875" customWidth="1"/>
    <col min="33" max="33" width="13.5" customWidth="1"/>
    <col min="34" max="34" width="10.8984375" bestFit="1" customWidth="1"/>
    <col min="35" max="35" width="10.69921875" bestFit="1" customWidth="1"/>
    <col min="36" max="36" width="13.5" bestFit="1" customWidth="1"/>
    <col min="37" max="41" width="13.5" customWidth="1"/>
    <col min="42" max="42" width="11.5" customWidth="1"/>
    <col min="43" max="43" width="12.3984375" customWidth="1"/>
    <col min="44" max="46" width="13.5" customWidth="1"/>
    <col min="47" max="48" width="9.3984375" hidden="1" customWidth="1" outlineLevel="1"/>
    <col min="49" max="52" width="8.69921875" hidden="1" customWidth="1" outlineLevel="1"/>
    <col min="53" max="53" width="8.69921875" style="6" collapsed="1"/>
    <col min="54" max="57" width="8.69921875" style="6"/>
  </cols>
  <sheetData>
    <row r="1" spans="1:57" ht="31.2" x14ac:dyDescent="0.6">
      <c r="A1" s="10" t="s">
        <v>35</v>
      </c>
      <c r="B1" s="10"/>
      <c r="C1" s="10"/>
      <c r="D1" s="10"/>
      <c r="E1" s="10"/>
      <c r="F1" s="10"/>
      <c r="G1" s="10"/>
      <c r="H1" s="10"/>
      <c r="I1" s="10"/>
      <c r="J1" s="10"/>
      <c r="K1" s="10"/>
      <c r="L1" s="10"/>
      <c r="M1" s="10"/>
      <c r="N1" s="10"/>
      <c r="O1" s="10"/>
      <c r="P1" s="10"/>
      <c r="Q1" s="10"/>
      <c r="R1" s="10"/>
      <c r="S1" s="10"/>
      <c r="T1" s="10"/>
      <c r="U1" s="10"/>
      <c r="V1" s="10"/>
      <c r="W1" s="10"/>
      <c r="X1" s="10"/>
      <c r="Y1" s="10"/>
      <c r="Z1" s="10"/>
      <c r="AA1" s="10"/>
      <c r="AB1" s="54"/>
      <c r="AC1" s="17"/>
      <c r="AD1" s="10"/>
      <c r="AE1" s="11"/>
      <c r="AF1" s="10"/>
      <c r="AG1" s="10"/>
      <c r="AH1" s="10"/>
      <c r="AI1" s="10"/>
      <c r="AJ1" s="10"/>
      <c r="AK1" s="10"/>
      <c r="AL1" s="10"/>
      <c r="AM1" s="10"/>
      <c r="AN1" s="10"/>
      <c r="AO1" s="10"/>
      <c r="AP1" s="10"/>
      <c r="AQ1" s="10"/>
      <c r="AR1" s="10"/>
      <c r="AS1" s="10"/>
      <c r="AT1" s="10"/>
      <c r="AU1" s="10"/>
      <c r="AV1" s="10"/>
      <c r="AW1" s="10"/>
      <c r="AX1" s="10"/>
      <c r="AY1" s="10"/>
      <c r="AZ1" s="10"/>
    </row>
    <row r="2" spans="1:57" s="67" customFormat="1" x14ac:dyDescent="0.3">
      <c r="A2" s="61" t="s">
        <v>34</v>
      </c>
      <c r="B2" s="62">
        <v>45915</v>
      </c>
      <c r="C2" s="62"/>
      <c r="D2" s="64"/>
      <c r="E2" s="64"/>
      <c r="F2" s="64"/>
      <c r="G2" s="64"/>
      <c r="H2" s="64"/>
      <c r="I2" s="64"/>
      <c r="J2" s="64"/>
      <c r="K2" s="64"/>
      <c r="L2" s="64"/>
      <c r="M2" s="64"/>
      <c r="N2" s="64"/>
      <c r="O2" s="64"/>
      <c r="P2" s="64"/>
      <c r="Q2" s="63"/>
      <c r="R2" s="63"/>
      <c r="S2" s="64"/>
      <c r="T2" s="64"/>
      <c r="U2" s="64"/>
      <c r="V2" s="64"/>
      <c r="W2" s="64"/>
      <c r="X2" s="64"/>
      <c r="Y2" s="64"/>
      <c r="Z2" s="64"/>
      <c r="AA2" s="64"/>
      <c r="AB2" s="88"/>
      <c r="AC2" s="64"/>
      <c r="AD2" s="63"/>
      <c r="AE2" s="65"/>
      <c r="AF2" s="63"/>
      <c r="AG2" s="63"/>
      <c r="AH2" s="63"/>
      <c r="AI2" s="63"/>
      <c r="AJ2" s="63"/>
      <c r="AK2" s="63"/>
      <c r="AL2" s="63"/>
      <c r="AM2" s="63"/>
      <c r="AN2" s="63"/>
      <c r="AO2" s="63"/>
      <c r="AP2" s="63"/>
      <c r="AQ2" s="63"/>
      <c r="AR2" s="63"/>
      <c r="AS2" s="63"/>
      <c r="AT2" s="63"/>
      <c r="AU2" s="66"/>
      <c r="AV2" s="66"/>
      <c r="AW2" s="66"/>
      <c r="AX2" s="66"/>
      <c r="AY2" s="66"/>
      <c r="AZ2" s="66"/>
      <c r="BA2" s="63"/>
      <c r="BB2" s="63"/>
      <c r="BC2" s="63"/>
      <c r="BD2" s="63"/>
      <c r="BE2" s="63"/>
    </row>
    <row r="3" spans="1:57" ht="26.25" customHeight="1" x14ac:dyDescent="0.3">
      <c r="A3" s="77" t="s">
        <v>174</v>
      </c>
      <c r="B3" s="79"/>
      <c r="C3" s="79"/>
      <c r="D3" s="78"/>
      <c r="E3" s="79"/>
      <c r="F3" s="79"/>
      <c r="G3" s="79"/>
      <c r="H3" s="79"/>
      <c r="I3" s="79"/>
      <c r="J3" s="79"/>
      <c r="K3" s="79"/>
      <c r="L3" s="79"/>
      <c r="M3" s="79"/>
      <c r="N3" s="79"/>
      <c r="O3" s="79"/>
      <c r="P3" s="79"/>
      <c r="Q3" s="79"/>
      <c r="R3" s="79"/>
      <c r="S3" s="79"/>
      <c r="T3" s="79"/>
      <c r="U3" s="79"/>
      <c r="V3" s="79"/>
      <c r="W3" s="79"/>
      <c r="X3" s="79"/>
      <c r="Y3" s="80" t="s">
        <v>189</v>
      </c>
      <c r="Z3" s="80"/>
      <c r="AA3" s="80"/>
      <c r="AB3" s="89"/>
      <c r="AC3" s="92"/>
      <c r="AD3" s="80"/>
      <c r="AE3" s="80"/>
      <c r="AF3" s="80"/>
      <c r="AG3" s="80"/>
      <c r="AH3" s="80"/>
      <c r="AI3" s="80"/>
      <c r="AJ3" s="80"/>
      <c r="AK3" s="80"/>
      <c r="AL3" s="80"/>
      <c r="AM3" s="80"/>
      <c r="AN3" s="80"/>
      <c r="AO3" s="80"/>
      <c r="AP3" s="80"/>
      <c r="AQ3" s="80"/>
      <c r="AR3" s="80"/>
      <c r="AS3" s="80"/>
      <c r="AT3" s="80"/>
      <c r="AU3" s="70" t="s">
        <v>193</v>
      </c>
      <c r="AV3" s="70"/>
      <c r="AW3" s="70"/>
      <c r="AX3" s="70"/>
      <c r="AY3" s="70"/>
      <c r="AZ3" s="70"/>
    </row>
    <row r="4" spans="1:57" s="12" customFormat="1" ht="45.75" customHeight="1" x14ac:dyDescent="0.3">
      <c r="A4" s="57" t="s">
        <v>191</v>
      </c>
      <c r="B4" s="57"/>
      <c r="C4" s="57"/>
      <c r="D4" s="57"/>
      <c r="E4" s="57"/>
      <c r="F4" s="57"/>
      <c r="G4" s="57"/>
      <c r="H4" s="57"/>
      <c r="I4" s="57"/>
      <c r="J4" s="57"/>
      <c r="K4" s="57"/>
      <c r="L4" s="57"/>
      <c r="M4" s="57"/>
      <c r="N4" s="57"/>
      <c r="O4" s="59" t="s">
        <v>187</v>
      </c>
      <c r="P4" s="59"/>
      <c r="Q4" s="59"/>
      <c r="R4" s="59"/>
      <c r="S4" s="59"/>
      <c r="T4" s="59"/>
      <c r="U4" s="59"/>
      <c r="V4" s="59"/>
      <c r="W4" s="59"/>
      <c r="X4" s="59"/>
      <c r="Y4" s="72" t="s">
        <v>441</v>
      </c>
      <c r="Z4" s="112">
        <v>5</v>
      </c>
      <c r="AA4" s="72"/>
      <c r="AB4" s="90" t="s">
        <v>40</v>
      </c>
      <c r="AC4" s="93"/>
      <c r="AD4" s="75"/>
      <c r="AE4" s="76" t="s">
        <v>188</v>
      </c>
      <c r="AF4" s="76"/>
      <c r="AG4" s="76"/>
      <c r="AH4" s="59" t="s">
        <v>175</v>
      </c>
      <c r="AI4" s="59"/>
      <c r="AJ4" s="59"/>
      <c r="AK4" s="73" t="s">
        <v>176</v>
      </c>
      <c r="AL4" s="73"/>
      <c r="AM4" s="73"/>
      <c r="AN4" s="73"/>
      <c r="AO4" s="73"/>
      <c r="AP4" s="73"/>
      <c r="AQ4" s="73"/>
      <c r="AR4" s="73"/>
      <c r="AS4" s="73"/>
      <c r="AT4" s="73"/>
      <c r="AU4" s="113" t="s">
        <v>8</v>
      </c>
      <c r="AV4" s="113"/>
      <c r="AW4" s="68">
        <v>0.2</v>
      </c>
      <c r="AX4" s="68">
        <v>0.2</v>
      </c>
      <c r="AY4" s="69">
        <v>0.9</v>
      </c>
      <c r="AZ4" s="69">
        <v>0.75</v>
      </c>
      <c r="BA4" s="18"/>
      <c r="BB4" s="18"/>
      <c r="BC4" s="18"/>
      <c r="BD4" s="18"/>
      <c r="BE4" s="18"/>
    </row>
    <row r="5" spans="1:57" s="7" customFormat="1" ht="54.6" thickBot="1" x14ac:dyDescent="0.35">
      <c r="A5" s="58" t="s">
        <v>552</v>
      </c>
      <c r="B5" s="58" t="s">
        <v>33</v>
      </c>
      <c r="C5" s="58" t="s">
        <v>51</v>
      </c>
      <c r="D5" s="58" t="s">
        <v>199</v>
      </c>
      <c r="E5" s="58" t="s">
        <v>10</v>
      </c>
      <c r="F5" s="58" t="s">
        <v>12</v>
      </c>
      <c r="G5" s="58" t="s">
        <v>177</v>
      </c>
      <c r="H5" s="58" t="s">
        <v>178</v>
      </c>
      <c r="I5" s="58" t="s">
        <v>440</v>
      </c>
      <c r="J5" s="58" t="s">
        <v>407</v>
      </c>
      <c r="K5" s="58" t="s">
        <v>417</v>
      </c>
      <c r="L5" s="58" t="s">
        <v>419</v>
      </c>
      <c r="M5" s="58" t="s">
        <v>6</v>
      </c>
      <c r="N5" s="58" t="s">
        <v>7</v>
      </c>
      <c r="O5" s="8" t="s">
        <v>179</v>
      </c>
      <c r="P5" s="8" t="s">
        <v>180</v>
      </c>
      <c r="Q5" s="8" t="s">
        <v>172</v>
      </c>
      <c r="R5" s="8" t="s">
        <v>173</v>
      </c>
      <c r="S5" s="8" t="s">
        <v>181</v>
      </c>
      <c r="T5" s="8" t="s">
        <v>182</v>
      </c>
      <c r="U5" s="8" t="s">
        <v>183</v>
      </c>
      <c r="V5" s="8" t="s">
        <v>184</v>
      </c>
      <c r="W5" s="8" t="s">
        <v>185</v>
      </c>
      <c r="X5" s="8" t="s">
        <v>186</v>
      </c>
      <c r="Y5" s="71" t="s">
        <v>190</v>
      </c>
      <c r="Z5" s="71" t="s">
        <v>206</v>
      </c>
      <c r="AA5" s="71" t="s">
        <v>418</v>
      </c>
      <c r="AB5" s="40" t="s">
        <v>9</v>
      </c>
      <c r="AC5" s="40" t="s">
        <v>339</v>
      </c>
      <c r="AD5" s="40" t="s">
        <v>341</v>
      </c>
      <c r="AE5" s="74" t="s">
        <v>41</v>
      </c>
      <c r="AF5" s="74" t="s">
        <v>42</v>
      </c>
      <c r="AG5" s="74" t="s">
        <v>62</v>
      </c>
      <c r="AH5" s="8" t="s">
        <v>44</v>
      </c>
      <c r="AI5" s="8" t="s">
        <v>45</v>
      </c>
      <c r="AJ5" s="8" t="s">
        <v>63</v>
      </c>
      <c r="AK5" s="13" t="s">
        <v>198</v>
      </c>
      <c r="AL5" s="13" t="s">
        <v>43</v>
      </c>
      <c r="AM5" s="13" t="s">
        <v>136</v>
      </c>
      <c r="AN5" s="13" t="s">
        <v>46</v>
      </c>
      <c r="AO5" s="13" t="s">
        <v>137</v>
      </c>
      <c r="AP5" s="13" t="s">
        <v>337</v>
      </c>
      <c r="AQ5" s="13" t="s">
        <v>192</v>
      </c>
      <c r="AR5" s="13" t="s">
        <v>139</v>
      </c>
      <c r="AS5" s="13" t="s">
        <v>160</v>
      </c>
      <c r="AT5" s="13" t="s">
        <v>159</v>
      </c>
      <c r="AU5" s="39" t="s">
        <v>29</v>
      </c>
      <c r="AV5" s="39" t="s">
        <v>30</v>
      </c>
      <c r="AW5" s="14" t="s">
        <v>195</v>
      </c>
      <c r="AX5" s="14" t="s">
        <v>194</v>
      </c>
      <c r="AY5" s="8" t="s">
        <v>196</v>
      </c>
      <c r="AZ5" s="8" t="s">
        <v>197</v>
      </c>
      <c r="BA5" s="15"/>
      <c r="BB5" s="16"/>
      <c r="BC5" s="16"/>
      <c r="BD5" s="16"/>
      <c r="BE5" s="16"/>
    </row>
    <row r="6" spans="1:57" s="45" customFormat="1" x14ac:dyDescent="0.3">
      <c r="A6" s="109"/>
      <c r="B6" s="105"/>
      <c r="C6" s="60"/>
      <c r="D6" s="101"/>
      <c r="E6" s="60"/>
      <c r="F6" s="60"/>
      <c r="G6" s="43"/>
      <c r="H6" s="109"/>
      <c r="I6" s="109"/>
      <c r="J6" s="60"/>
      <c r="K6" s="60"/>
      <c r="L6" s="60"/>
      <c r="M6" s="60"/>
      <c r="N6" s="60"/>
      <c r="O6" s="60"/>
      <c r="P6" s="60"/>
      <c r="Q6" s="43"/>
      <c r="R6" s="43"/>
      <c r="S6" s="43"/>
      <c r="T6" s="43"/>
      <c r="U6" s="43"/>
      <c r="V6" s="43"/>
      <c r="W6" s="43"/>
      <c r="X6" s="43"/>
      <c r="Y6" s="60" t="str">
        <f t="shared" ref="Y6:Y39" si="0">SUBSTITUTE(SUBSTITUTE(SUBSTITUTE(P6,CHAR(34),""),"[", ""),"]", "")</f>
        <v/>
      </c>
      <c r="Z6" s="43">
        <f>$Z$4</f>
        <v>5</v>
      </c>
      <c r="AA6" s="60" t="str">
        <f t="shared" ref="AA6:AA47" si="1">IF($L6=TRUE, "Roadside Facility Intersection",IF($J6="True", "Multi-Way Stop Control",IF($K6="Single-Lane Roundabout", "Single-Lane Roundabout",IF($K6="Multi-Lane Roundabout","Multi-Lane Roundabout",IF($I6="Restricted Crossing U-Turn (RCUT, J-Turn, Superstreet) intersection", "Restricted Crossing U-Turn",IF($H6="Two-Way Stop","Two-Way Stop Control",IF($H6="All-Way Stop","All-Way Stop Control",IF($H6="Signalized","Traffic Signal","Other"))))))))</f>
        <v>Other</v>
      </c>
      <c r="AB6" s="91" t="e">
        <f>VLOOKUP(AC6,IntAWS[],HLOOKUP("AWS Name",IntAWS[],2,FALSE),FALSE)</f>
        <v>#N/A</v>
      </c>
      <c r="AC6" s="87" t="str">
        <f t="shared" ref="AC6:AC47" si="2">IF(OR($M6="",$M6&lt;1,$N6="",$N6&lt;1),"Data Error: Check AADTs",IF($AA6="","Data Error: Missing Control",
IF($D6="Local",IF(OR($AA6="Single-Lane Roundabout",$AA6="Multi-Lane Roundabout"), "L_2+ Legs_RAB", IF($AA6="Traffic Signal", "L_2+ Legs_Signal", "L_2+ Legs_TWSC")),
IF($D6="State", IF($AA6="Multi-Way Stop Control","S_4 Leg_MWSC", IF($AA6="Other","S_2+ Legs_Other", IF($AA6="Roadside Facility Intersection","S_2+ Legs_Road", IF($AA6="Restricted Crossing U-Turn","S_2+ Legs_RCUT",
IF($E6="Rural",
IF($AA6="All-Way Stop Control","S_R_3+ Legs_AWSC",IF($AA6="Multi-Lane Roundabout","S_R_3+ Legs_RAB-Multi",IF($AA6="Single-Lane Roundabout","S_R_3+ Legs_RAB-Single",IF($AA6="Traffic Signal","S_R_3+ Legs_Signal",
IF($G6=3,IF($F6="True","S_R_Ramp_3 Leg_TWSC",IF($F6="False","S_R_Non_3 Leg_TWSC","Data Error: Ramp Terminal")),
IF($G6=4,IF($F6="True","S_R_Ramp_4 Leg_TWSC",IF($F6="False","S_R_Non_4 Leg_TWSC","Data Error: Ramp Terminal")),IF($G6&gt;4,"S_Non_5+ Legs_TWSC","Data Error: Leg Count"))))))),
IF($E6="Urban",
IF($AA6="All-Way Stop Control","S_U_3+ Legs_AWSC",IF($AA6="Multi-Lane Roundabout","S_U_3+ Legs_RAB-Multi",IF($AA6="Single-Lane Roundabout","S_U_3+ Legs_RAB-Single",
IF($F6="False",
IF($AA6="Two-Way Stop Control",IF($G6=3,"S_U_Non_3 Leg_TWSC",IF($G6=4,"S_U_Non_4 Leg_TWSC",IF($G6&gt;4,"S_Non_5+ Legs_TWSC","Data Error: Leg Count"))),
IF($AA6="Traffic Signal",IF($G6=3,"S_U_Non_3 Leg_Signal","S_U_Non_4+ Legs_Signal"),"Data Error: WisDOT Int. Type")),
IF($F6="True",
IF($AA6="Two-Way Stop Control",IF($G6=3,"S_U_Ramp_3 Leg_TWSC",IF($G6=4,"S_U_Ramp_4 Leg_TWSC","Data Error: Leg Count")),
IF($AA6="Traffic Signal",IF($G6=3,"S_U_Ramp_3 Leg_Signal","S_U_Ramp_4+ Legs_Signal"),"Data Error: WisDOT Int. Type")),"Data Error: Ramp Terminal"))))),"Data Error: Area Type")))))),"Data Error: Roadway System"))))</f>
        <v>Data Error: Check AADTs</v>
      </c>
      <c r="AD6" s="108" t="str">
        <f>IFERROR(VLOOKUP($AC6,IntAWS[],HLOOKUP("KABC Scaler",IntAWS[],2,FALSE),FALSE),"Data Error")</f>
        <v>Data Error</v>
      </c>
      <c r="AE6" s="43">
        <f t="shared" ref="AE6:AE47" si="3">SUM(S6:X6)</f>
        <v>0</v>
      </c>
      <c r="AF6" s="42" t="e">
        <f>$Z6*
(VLOOKUP(AC6,IntAWS[],HLOOKUP("Intercept",IntAWS[],2,FALSE),FALSE))*
($N6^VLOOKUP(AC6,IntAWS[],HLOOKUP("Minor AADT",IntAWS[],2,FALSE),FALSE))*
($M6^VLOOKUP(AC6,IntAWS[],HLOOKUP("Major AADT",IntAWS[],2,FALSE),FALSE))</f>
        <v>#N/A</v>
      </c>
      <c r="AG6" s="42" t="e">
        <f>((1/(1+VLOOKUP(AC6,IntAWS[],HLOOKUP("Dispersion Parameter",IntAWS[],2,FALSE),FALSE)*AF6))*AF6
+(1-1/(1+VLOOKUP(AC6,IntAWS[],HLOOKUP("Dispersion Parameter",IntAWS[],2,FALSE),FALSE)*AF6))*AE6)</f>
        <v>#N/A</v>
      </c>
      <c r="AH6" s="43">
        <f t="shared" ref="AH6:AH47" si="4">SUM(S6:V6)</f>
        <v>0</v>
      </c>
      <c r="AI6" s="42" t="str">
        <f t="shared" ref="AI6:AI47" si="5">IFERROR($AD6*$AF6,"Data Error")</f>
        <v>Data Error</v>
      </c>
      <c r="AJ6" s="42" t="e">
        <f>((1/(1+VLOOKUP(AC6,IntAWS[],HLOOKUP("Dispersion Parameter",IntAWS[],2,FALSE),FALSE)*AI6))*AI6
+(1-1/(1+VLOOKUP(AC6,IntAWS[],HLOOKUP("Dispersion Parameter",IntAWS[],2,FALSE),FALSE)*AI6))*AH6)</f>
        <v>#N/A</v>
      </c>
      <c r="AK6" s="60">
        <f t="shared" ref="AK6:AK47" si="6">A6</f>
        <v>0</v>
      </c>
      <c r="AL6" s="60" t="str">
        <f t="shared" ref="AL6:AL10" si="7">IFERROR(IF(AG6&lt;_xlfn.GAMMA.INV($AW$4,AW6,AX6),"LOSS 1",
IF(AG6&lt;AF6,"LOSS 2",
IF(AG6&lt;_xlfn.GAMMA.INV($AY$4,AW6,AX6),"LOSS 3",
IF(AG6&gt;=_xlfn.GAMMA.INV($AY$4,AW6,AX6),"LOSS 4","Error")))),"Missing Data")</f>
        <v>Missing Data</v>
      </c>
      <c r="AM6" s="42" t="str">
        <f t="shared" ref="AM6:AM10" si="8">IFERROR(AG6-AF6,"Missing Data")</f>
        <v>Missing Data</v>
      </c>
      <c r="AN6" s="60" t="str">
        <f t="shared" ref="AN6:AN10" si="9">IFERROR(IF(AJ6&lt;_xlfn.GAMMA.INV($AX$4,AY6,AZ6),"LOSS 1",
IF(AJ6&lt;AI6,"LOSS 2",
IF(AJ6&lt;_xlfn.GAMMA.INV($AZ$4,AY6,AZ6),"LOSS 3",
IF(AJ6&gt;=_xlfn.GAMMA.INV($AZ$4,AY6,AZ6),"LOSS 4","Error")))),"Missing Data")</f>
        <v>Missing Data</v>
      </c>
      <c r="AO6" s="42" t="str">
        <f t="shared" ref="AO6:AO10" si="10">IFERROR(AJ6-AI6,"Missing Data")</f>
        <v>Missing Data</v>
      </c>
      <c r="AP6" s="43">
        <f t="shared" ref="AP6:AP47" si="11">Q6</f>
        <v>0</v>
      </c>
      <c r="AQ6" s="43">
        <f t="shared" ref="AQ6:AQ47" si="12">R6</f>
        <v>0</v>
      </c>
      <c r="AR6" s="60" t="str">
        <f>IF(OR(AL6="Missing Data",AM6="Missing Data",AN6="Missing Data",AO6="Missing Data"),"Missing Data",
IF(OR(AP6&gt;0,AQ6&gt;0,AND(AE6&gt;1,OR(AL6="LOSS 4", AN6="LOSS 4"))),"Yes","No"))</f>
        <v>Missing Data</v>
      </c>
      <c r="AS6" s="106"/>
      <c r="AT6" s="106"/>
      <c r="AU6" s="42" t="e">
        <f>VLOOKUP(AC6,IntAWS[],HLOOKUP("Dispersion Parameter",IntAWS[],2,FALSE),FALSE)</f>
        <v>#N/A</v>
      </c>
      <c r="AV6" s="42" t="e">
        <f>VLOOKUP($AC6,IntAWS[],HLOOKUP("Dispersion Parameter",IntAWS[],2,FALSE),FALSE)</f>
        <v>#N/A</v>
      </c>
      <c r="AW6" s="42" t="e">
        <f>1/AU6</f>
        <v>#N/A</v>
      </c>
      <c r="AX6" s="42" t="e">
        <f t="shared" ref="AX6:AX10" si="13">AF6/AW6</f>
        <v>#N/A</v>
      </c>
      <c r="AY6" s="42" t="e">
        <f>1/AV6</f>
        <v>#N/A</v>
      </c>
      <c r="AZ6" s="42" t="e">
        <f t="shared" ref="AZ6:AZ10" si="14">AI6/AY6</f>
        <v>#VALUE!</v>
      </c>
      <c r="BA6" s="46"/>
      <c r="BB6" s="46"/>
      <c r="BC6" s="46"/>
      <c r="BD6" s="46"/>
      <c r="BE6" s="46"/>
    </row>
    <row r="7" spans="1:57" x14ac:dyDescent="0.3">
      <c r="A7" s="109"/>
      <c r="B7" s="60"/>
      <c r="C7" s="60"/>
      <c r="D7" s="101"/>
      <c r="E7" s="60"/>
      <c r="F7" s="60"/>
      <c r="G7" s="43"/>
      <c r="H7" s="109"/>
      <c r="I7" s="109"/>
      <c r="J7" s="60"/>
      <c r="K7" s="60"/>
      <c r="L7" s="60"/>
      <c r="M7" s="60"/>
      <c r="N7" s="60"/>
      <c r="O7" s="60"/>
      <c r="P7" s="60"/>
      <c r="Q7" s="43"/>
      <c r="R7" s="43"/>
      <c r="S7" s="43"/>
      <c r="T7" s="43"/>
      <c r="U7" s="43"/>
      <c r="V7" s="43"/>
      <c r="W7" s="43"/>
      <c r="X7" s="43"/>
      <c r="Y7" s="60" t="str">
        <f t="shared" si="0"/>
        <v/>
      </c>
      <c r="Z7" s="43">
        <f t="shared" ref="Z7:Z47" si="15">$Z$4</f>
        <v>5</v>
      </c>
      <c r="AA7" s="60" t="str">
        <f t="shared" si="1"/>
        <v>Other</v>
      </c>
      <c r="AB7" s="91" t="e">
        <f>VLOOKUP(AC7,IntAWS[],HLOOKUP("AWS Name",IntAWS[],2,FALSE),FALSE)</f>
        <v>#N/A</v>
      </c>
      <c r="AC7" s="87" t="str">
        <f t="shared" si="2"/>
        <v>Data Error: Check AADTs</v>
      </c>
      <c r="AD7" s="108" t="str">
        <f>IFERROR(VLOOKUP($AC7,IntAWS[],HLOOKUP("KABC Scaler",IntAWS[],2,FALSE),FALSE),"Data Error")</f>
        <v>Data Error</v>
      </c>
      <c r="AE7" s="43">
        <f t="shared" si="3"/>
        <v>0</v>
      </c>
      <c r="AF7" s="42" t="e">
        <f>$Z7*
(VLOOKUP(AC7,IntAWS[],HLOOKUP("Intercept",IntAWS[],2,FALSE),FALSE))*
($N7^VLOOKUP(AC7,IntAWS[],HLOOKUP("Minor AADT",IntAWS[],2,FALSE),FALSE))*
($M7^VLOOKUP(AC7,IntAWS[],HLOOKUP("Major AADT",IntAWS[],2,FALSE),FALSE))</f>
        <v>#N/A</v>
      </c>
      <c r="AG7" s="42" t="e">
        <f>((1/(1+VLOOKUP(AC7,IntAWS[],HLOOKUP("Dispersion Parameter",IntAWS[],2,FALSE),FALSE)*AF7))*AF7
+(1-1/(1+VLOOKUP(AC7,IntAWS[],HLOOKUP("Dispersion Parameter",IntAWS[],2,FALSE),FALSE)*AF7))*AE7)</f>
        <v>#N/A</v>
      </c>
      <c r="AH7" s="43">
        <f t="shared" si="4"/>
        <v>0</v>
      </c>
      <c r="AI7" s="42" t="str">
        <f t="shared" si="5"/>
        <v>Data Error</v>
      </c>
      <c r="AJ7" s="42" t="e">
        <f>((1/(1+VLOOKUP(AC7,IntAWS[],HLOOKUP("Dispersion Parameter",IntAWS[],2,FALSE),FALSE)*AI7))*AI7
+(1-1/(1+VLOOKUP(AC7,IntAWS[],HLOOKUP("Dispersion Parameter",IntAWS[],2,FALSE),FALSE)*AI7))*AH7)</f>
        <v>#N/A</v>
      </c>
      <c r="AK7" s="60">
        <f t="shared" si="6"/>
        <v>0</v>
      </c>
      <c r="AL7" s="60" t="str">
        <f t="shared" si="7"/>
        <v>Missing Data</v>
      </c>
      <c r="AM7" s="42" t="str">
        <f t="shared" si="8"/>
        <v>Missing Data</v>
      </c>
      <c r="AN7" s="60" t="str">
        <f t="shared" si="9"/>
        <v>Missing Data</v>
      </c>
      <c r="AO7" s="42" t="str">
        <f t="shared" si="10"/>
        <v>Missing Data</v>
      </c>
      <c r="AP7" s="43">
        <f t="shared" si="11"/>
        <v>0</v>
      </c>
      <c r="AQ7" s="43">
        <f t="shared" si="12"/>
        <v>0</v>
      </c>
      <c r="AR7" s="60" t="str">
        <f>IF(OR(AL7="Missing Data",AM7="Missing Data",AN7="Missing Data",AO7="Missing Data"),"Missing Data",
IF(OR(AP7&gt;0,AQ7&gt;0,AND(AE7&gt;1,OR(AL7="LOSS 4", AN7="LOSS 4"))),"Yes","No"))</f>
        <v>Missing Data</v>
      </c>
      <c r="AS7" s="106"/>
      <c r="AT7" s="106"/>
      <c r="AU7" s="42" t="e">
        <f>VLOOKUP(AC7,IntAWS[],HLOOKUP("Dispersion Parameter",IntAWS[],2,FALSE),FALSE)</f>
        <v>#N/A</v>
      </c>
      <c r="AV7" s="42" t="e">
        <f>VLOOKUP($AC7,IntAWS[],HLOOKUP("Dispersion Parameter",IntAWS[],2,FALSE),FALSE)</f>
        <v>#N/A</v>
      </c>
      <c r="AW7" s="42" t="e">
        <f t="shared" ref="AW7:AW10" si="16">1/AU7</f>
        <v>#N/A</v>
      </c>
      <c r="AX7" s="42" t="e">
        <f t="shared" si="13"/>
        <v>#N/A</v>
      </c>
      <c r="AY7" s="42" t="e">
        <f t="shared" ref="AY7:AY10" si="17">1/AV7</f>
        <v>#N/A</v>
      </c>
      <c r="AZ7" s="42" t="e">
        <f t="shared" si="14"/>
        <v>#VALUE!</v>
      </c>
    </row>
    <row r="8" spans="1:57" x14ac:dyDescent="0.3">
      <c r="A8" s="109"/>
      <c r="B8" s="60"/>
      <c r="C8" s="60"/>
      <c r="D8" s="101"/>
      <c r="E8" s="60"/>
      <c r="F8" s="60"/>
      <c r="G8" s="43"/>
      <c r="H8" s="109"/>
      <c r="I8" s="109"/>
      <c r="J8" s="60"/>
      <c r="K8" s="60"/>
      <c r="L8" s="60"/>
      <c r="M8" s="60"/>
      <c r="N8" s="60"/>
      <c r="O8" s="60"/>
      <c r="P8" s="60"/>
      <c r="Q8" s="43"/>
      <c r="R8" s="43"/>
      <c r="S8" s="43"/>
      <c r="T8" s="43"/>
      <c r="U8" s="43"/>
      <c r="V8" s="43"/>
      <c r="W8" s="43"/>
      <c r="X8" s="43"/>
      <c r="Y8" s="60" t="str">
        <f t="shared" si="0"/>
        <v/>
      </c>
      <c r="Z8" s="43">
        <f t="shared" si="15"/>
        <v>5</v>
      </c>
      <c r="AA8" s="60" t="str">
        <f t="shared" si="1"/>
        <v>Other</v>
      </c>
      <c r="AB8" s="91" t="e">
        <f>VLOOKUP(AC8,IntAWS[],HLOOKUP("AWS Name",IntAWS[],2,FALSE),FALSE)</f>
        <v>#N/A</v>
      </c>
      <c r="AC8" s="87" t="str">
        <f t="shared" si="2"/>
        <v>Data Error: Check AADTs</v>
      </c>
      <c r="AD8" s="108" t="str">
        <f>IFERROR(VLOOKUP($AC8,IntAWS[],HLOOKUP("KABC Scaler",IntAWS[],2,FALSE),FALSE),"Data Error")</f>
        <v>Data Error</v>
      </c>
      <c r="AE8" s="43">
        <f t="shared" si="3"/>
        <v>0</v>
      </c>
      <c r="AF8" s="42" t="e">
        <f>$Z8*
(VLOOKUP(AC8,IntAWS[],HLOOKUP("Intercept",IntAWS[],2,FALSE),FALSE))*
($N8^VLOOKUP(AC8,IntAWS[],HLOOKUP("Minor AADT",IntAWS[],2,FALSE),FALSE))*
($M8^VLOOKUP(AC8,IntAWS[],HLOOKUP("Major AADT",IntAWS[],2,FALSE),FALSE))</f>
        <v>#N/A</v>
      </c>
      <c r="AG8" s="42" t="e">
        <f>((1/(1+VLOOKUP(AC8,IntAWS[],HLOOKUP("Dispersion Parameter",IntAWS[],2,FALSE),FALSE)*AF8))*AF8
+(1-1/(1+VLOOKUP(AC8,IntAWS[],HLOOKUP("Dispersion Parameter",IntAWS[],2,FALSE),FALSE)*AF8))*AE8)</f>
        <v>#N/A</v>
      </c>
      <c r="AH8" s="43">
        <f t="shared" si="4"/>
        <v>0</v>
      </c>
      <c r="AI8" s="42" t="str">
        <f t="shared" si="5"/>
        <v>Data Error</v>
      </c>
      <c r="AJ8" s="42" t="e">
        <f>((1/(1+VLOOKUP(AC8,IntAWS[],HLOOKUP("Dispersion Parameter",IntAWS[],2,FALSE),FALSE)*AI8))*AI8
+(1-1/(1+VLOOKUP(AC8,IntAWS[],HLOOKUP("Dispersion Parameter",IntAWS[],2,FALSE),FALSE)*AI8))*AH8)</f>
        <v>#N/A</v>
      </c>
      <c r="AK8" s="60">
        <f t="shared" si="6"/>
        <v>0</v>
      </c>
      <c r="AL8" s="60" t="str">
        <f t="shared" si="7"/>
        <v>Missing Data</v>
      </c>
      <c r="AM8" s="42" t="str">
        <f t="shared" si="8"/>
        <v>Missing Data</v>
      </c>
      <c r="AN8" s="60" t="str">
        <f t="shared" si="9"/>
        <v>Missing Data</v>
      </c>
      <c r="AO8" s="42" t="str">
        <f t="shared" si="10"/>
        <v>Missing Data</v>
      </c>
      <c r="AP8" s="43">
        <f t="shared" si="11"/>
        <v>0</v>
      </c>
      <c r="AQ8" s="43">
        <f t="shared" si="12"/>
        <v>0</v>
      </c>
      <c r="AR8" s="60" t="str">
        <f t="shared" ref="AR8:AR47" si="18">IF(OR(AL8="Missing Data",AM8="Missing Data",AN8="Missing Data",AO8="Missing Data"),"Missing Data",
IF(OR(AP8&gt;0,AQ8&gt;0,AND(AE8&gt;1,OR(AL8="LOSS 4", AN8="LOSS 4"))),"Yes","No"))</f>
        <v>Missing Data</v>
      </c>
      <c r="AS8" s="106"/>
      <c r="AT8" s="106"/>
      <c r="AU8" s="42" t="e">
        <f>VLOOKUP(AC8,IntAWS[],HLOOKUP("Dispersion Parameter",IntAWS[],2,FALSE),FALSE)</f>
        <v>#N/A</v>
      </c>
      <c r="AV8" s="42" t="e">
        <f>VLOOKUP($AC8,IntAWS[],HLOOKUP("Dispersion Parameter",IntAWS[],2,FALSE),FALSE)</f>
        <v>#N/A</v>
      </c>
      <c r="AW8" s="42" t="e">
        <f t="shared" si="16"/>
        <v>#N/A</v>
      </c>
      <c r="AX8" s="42" t="e">
        <f t="shared" si="13"/>
        <v>#N/A</v>
      </c>
      <c r="AY8" s="42" t="e">
        <f t="shared" si="17"/>
        <v>#N/A</v>
      </c>
      <c r="AZ8" s="42" t="e">
        <f t="shared" si="14"/>
        <v>#VALUE!</v>
      </c>
    </row>
    <row r="9" spans="1:57" s="1" customFormat="1" x14ac:dyDescent="0.3">
      <c r="A9" s="109"/>
      <c r="B9" s="60"/>
      <c r="C9" s="60"/>
      <c r="D9" s="101"/>
      <c r="E9" s="60"/>
      <c r="F9" s="60"/>
      <c r="G9" s="43"/>
      <c r="H9" s="109"/>
      <c r="I9" s="109"/>
      <c r="J9" s="60"/>
      <c r="K9" s="60"/>
      <c r="L9" s="60"/>
      <c r="M9" s="60"/>
      <c r="N9" s="60"/>
      <c r="O9" s="60"/>
      <c r="P9" s="60"/>
      <c r="Q9" s="43"/>
      <c r="R9" s="43"/>
      <c r="S9" s="43"/>
      <c r="T9" s="43"/>
      <c r="U9" s="43"/>
      <c r="V9" s="43"/>
      <c r="W9" s="43"/>
      <c r="X9" s="43"/>
      <c r="Y9" s="60" t="str">
        <f t="shared" si="0"/>
        <v/>
      </c>
      <c r="Z9" s="43">
        <f t="shared" si="15"/>
        <v>5</v>
      </c>
      <c r="AA9" s="60" t="str">
        <f t="shared" si="1"/>
        <v>Other</v>
      </c>
      <c r="AB9" s="91" t="e">
        <f>VLOOKUP(AC9,IntAWS[],HLOOKUP("AWS Name",IntAWS[],2,FALSE),FALSE)</f>
        <v>#N/A</v>
      </c>
      <c r="AC9" s="87" t="str">
        <f t="shared" si="2"/>
        <v>Data Error: Check AADTs</v>
      </c>
      <c r="AD9" s="108" t="str">
        <f>IFERROR(VLOOKUP($AC9,IntAWS[],HLOOKUP("KABC Scaler",IntAWS[],2,FALSE),FALSE),"Data Error")</f>
        <v>Data Error</v>
      </c>
      <c r="AE9" s="43">
        <f t="shared" si="3"/>
        <v>0</v>
      </c>
      <c r="AF9" s="42" t="e">
        <f>$Z9*
(VLOOKUP(AC9,IntAWS[],HLOOKUP("Intercept",IntAWS[],2,FALSE),FALSE))*
($N9^VLOOKUP(AC9,IntAWS[],HLOOKUP("Minor AADT",IntAWS[],2,FALSE),FALSE))*
($M9^VLOOKUP(AC9,IntAWS[],HLOOKUP("Major AADT",IntAWS[],2,FALSE),FALSE))</f>
        <v>#N/A</v>
      </c>
      <c r="AG9" s="42" t="e">
        <f>((1/(1+VLOOKUP(AC9,IntAWS[],HLOOKUP("Dispersion Parameter",IntAWS[],2,FALSE),FALSE)*AF9))*AF9
+(1-1/(1+VLOOKUP(AC9,IntAWS[],HLOOKUP("Dispersion Parameter",IntAWS[],2,FALSE),FALSE)*AF9))*AE9)</f>
        <v>#N/A</v>
      </c>
      <c r="AH9" s="43">
        <f t="shared" si="4"/>
        <v>0</v>
      </c>
      <c r="AI9" s="42" t="str">
        <f t="shared" si="5"/>
        <v>Data Error</v>
      </c>
      <c r="AJ9" s="42" t="e">
        <f>((1/(1+VLOOKUP(AC9,IntAWS[],HLOOKUP("Dispersion Parameter",IntAWS[],2,FALSE),FALSE)*AI9))*AI9
+(1-1/(1+VLOOKUP(AC9,IntAWS[],HLOOKUP("Dispersion Parameter",IntAWS[],2,FALSE),FALSE)*AI9))*AH9)</f>
        <v>#N/A</v>
      </c>
      <c r="AK9" s="60">
        <f t="shared" si="6"/>
        <v>0</v>
      </c>
      <c r="AL9" s="60" t="str">
        <f t="shared" si="7"/>
        <v>Missing Data</v>
      </c>
      <c r="AM9" s="42" t="str">
        <f t="shared" si="8"/>
        <v>Missing Data</v>
      </c>
      <c r="AN9" s="60" t="str">
        <f t="shared" si="9"/>
        <v>Missing Data</v>
      </c>
      <c r="AO9" s="42" t="str">
        <f t="shared" si="10"/>
        <v>Missing Data</v>
      </c>
      <c r="AP9" s="43">
        <f t="shared" si="11"/>
        <v>0</v>
      </c>
      <c r="AQ9" s="43">
        <f t="shared" si="12"/>
        <v>0</v>
      </c>
      <c r="AR9" s="60" t="str">
        <f t="shared" si="18"/>
        <v>Missing Data</v>
      </c>
      <c r="AS9" s="106"/>
      <c r="AT9" s="106"/>
      <c r="AU9" s="42" t="e">
        <f>VLOOKUP(AC9,IntAWS[],HLOOKUP("Dispersion Parameter",IntAWS[],2,FALSE),FALSE)</f>
        <v>#N/A</v>
      </c>
      <c r="AV9" s="42" t="e">
        <f>VLOOKUP($AC9,IntAWS[],HLOOKUP("Dispersion Parameter",IntAWS[],2,FALSE),FALSE)</f>
        <v>#N/A</v>
      </c>
      <c r="AW9" s="42" t="e">
        <f t="shared" si="16"/>
        <v>#N/A</v>
      </c>
      <c r="AX9" s="42" t="e">
        <f t="shared" si="13"/>
        <v>#N/A</v>
      </c>
      <c r="AY9" s="42" t="e">
        <f t="shared" si="17"/>
        <v>#N/A</v>
      </c>
      <c r="AZ9" s="42" t="e">
        <f t="shared" si="14"/>
        <v>#VALUE!</v>
      </c>
      <c r="BA9" s="6"/>
      <c r="BB9" s="6"/>
      <c r="BC9" s="6"/>
      <c r="BD9" s="6"/>
      <c r="BE9" s="6"/>
    </row>
    <row r="10" spans="1:57" x14ac:dyDescent="0.3">
      <c r="A10" s="109"/>
      <c r="B10" s="60"/>
      <c r="C10" s="60"/>
      <c r="D10" s="101"/>
      <c r="E10" s="60"/>
      <c r="F10" s="60"/>
      <c r="G10" s="43"/>
      <c r="H10" s="109"/>
      <c r="I10" s="109"/>
      <c r="J10" s="60"/>
      <c r="K10" s="60"/>
      <c r="L10" s="60"/>
      <c r="M10" s="60"/>
      <c r="N10" s="60"/>
      <c r="O10" s="60"/>
      <c r="P10" s="60"/>
      <c r="Q10" s="43"/>
      <c r="R10" s="43"/>
      <c r="S10" s="43"/>
      <c r="T10" s="43"/>
      <c r="U10" s="43"/>
      <c r="V10" s="43"/>
      <c r="W10" s="43"/>
      <c r="X10" s="43"/>
      <c r="Y10" s="60" t="str">
        <f t="shared" si="0"/>
        <v/>
      </c>
      <c r="Z10" s="43">
        <f t="shared" si="15"/>
        <v>5</v>
      </c>
      <c r="AA10" s="60" t="str">
        <f t="shared" si="1"/>
        <v>Other</v>
      </c>
      <c r="AB10" s="91" t="e">
        <f>VLOOKUP(AC10,IntAWS[],HLOOKUP("AWS Name",IntAWS[],2,FALSE),FALSE)</f>
        <v>#N/A</v>
      </c>
      <c r="AC10" s="87" t="str">
        <f t="shared" si="2"/>
        <v>Data Error: Check AADTs</v>
      </c>
      <c r="AD10" s="108" t="str">
        <f>IFERROR(VLOOKUP($AC10,IntAWS[],HLOOKUP("KABC Scaler",IntAWS[],2,FALSE),FALSE),"Data Error")</f>
        <v>Data Error</v>
      </c>
      <c r="AE10" s="43">
        <f t="shared" si="3"/>
        <v>0</v>
      </c>
      <c r="AF10" s="42" t="e">
        <f>$Z10*
(VLOOKUP(AC10,IntAWS[],HLOOKUP("Intercept",IntAWS[],2,FALSE),FALSE))*
($N10^VLOOKUP(AC10,IntAWS[],HLOOKUP("Minor AADT",IntAWS[],2,FALSE),FALSE))*
($M10^VLOOKUP(AC10,IntAWS[],HLOOKUP("Major AADT",IntAWS[],2,FALSE),FALSE))</f>
        <v>#N/A</v>
      </c>
      <c r="AG10" s="42" t="e">
        <f>((1/(1+VLOOKUP(AC10,IntAWS[],HLOOKUP("Dispersion Parameter",IntAWS[],2,FALSE),FALSE)*AF10))*AF10
+(1-1/(1+VLOOKUP(AC10,IntAWS[],HLOOKUP("Dispersion Parameter",IntAWS[],2,FALSE),FALSE)*AF10))*AE10)</f>
        <v>#N/A</v>
      </c>
      <c r="AH10" s="43">
        <f t="shared" si="4"/>
        <v>0</v>
      </c>
      <c r="AI10" s="42" t="str">
        <f t="shared" si="5"/>
        <v>Data Error</v>
      </c>
      <c r="AJ10" s="42" t="e">
        <f>((1/(1+VLOOKUP(AC10,IntAWS[],HLOOKUP("Dispersion Parameter",IntAWS[],2,FALSE),FALSE)*AI10))*AI10
+(1-1/(1+VLOOKUP(AC10,IntAWS[],HLOOKUP("Dispersion Parameter",IntAWS[],2,FALSE),FALSE)*AI10))*AH10)</f>
        <v>#N/A</v>
      </c>
      <c r="AK10" s="60">
        <f t="shared" si="6"/>
        <v>0</v>
      </c>
      <c r="AL10" s="60" t="str">
        <f t="shared" si="7"/>
        <v>Missing Data</v>
      </c>
      <c r="AM10" s="42" t="str">
        <f t="shared" si="8"/>
        <v>Missing Data</v>
      </c>
      <c r="AN10" s="60" t="str">
        <f t="shared" si="9"/>
        <v>Missing Data</v>
      </c>
      <c r="AO10" s="42" t="str">
        <f t="shared" si="10"/>
        <v>Missing Data</v>
      </c>
      <c r="AP10" s="43">
        <f t="shared" si="11"/>
        <v>0</v>
      </c>
      <c r="AQ10" s="43">
        <f t="shared" si="12"/>
        <v>0</v>
      </c>
      <c r="AR10" s="60" t="str">
        <f t="shared" si="18"/>
        <v>Missing Data</v>
      </c>
      <c r="AS10" s="106"/>
      <c r="AT10" s="106"/>
      <c r="AU10" s="42" t="e">
        <f>VLOOKUP(AC10,IntAWS[],HLOOKUP("Dispersion Parameter",IntAWS[],2,FALSE),FALSE)</f>
        <v>#N/A</v>
      </c>
      <c r="AV10" s="42" t="e">
        <f>VLOOKUP($AC10,IntAWS[],HLOOKUP("Dispersion Parameter",IntAWS[],2,FALSE),FALSE)</f>
        <v>#N/A</v>
      </c>
      <c r="AW10" s="42" t="e">
        <f t="shared" si="16"/>
        <v>#N/A</v>
      </c>
      <c r="AX10" s="42" t="e">
        <f t="shared" si="13"/>
        <v>#N/A</v>
      </c>
      <c r="AY10" s="42" t="e">
        <f t="shared" si="17"/>
        <v>#N/A</v>
      </c>
      <c r="AZ10" s="42" t="e">
        <f t="shared" si="14"/>
        <v>#VALUE!</v>
      </c>
    </row>
    <row r="11" spans="1:57" x14ac:dyDescent="0.3">
      <c r="A11" s="109"/>
      <c r="B11" s="60"/>
      <c r="C11" s="60"/>
      <c r="D11" s="101"/>
      <c r="E11" s="101"/>
      <c r="F11" s="60"/>
      <c r="G11" s="43"/>
      <c r="H11" s="109"/>
      <c r="I11" s="109"/>
      <c r="J11" s="60"/>
      <c r="K11" s="60"/>
      <c r="L11" s="60"/>
      <c r="M11" s="60"/>
      <c r="N11" s="60"/>
      <c r="O11" s="60"/>
      <c r="P11" s="60"/>
      <c r="Q11" s="43"/>
      <c r="R11" s="43"/>
      <c r="S11" s="43"/>
      <c r="T11" s="43"/>
      <c r="U11" s="43"/>
      <c r="V11" s="43"/>
      <c r="W11" s="43"/>
      <c r="X11" s="43"/>
      <c r="Y11" s="60" t="str">
        <f t="shared" si="0"/>
        <v/>
      </c>
      <c r="Z11" s="43">
        <f t="shared" si="15"/>
        <v>5</v>
      </c>
      <c r="AA11" s="60" t="str">
        <f t="shared" si="1"/>
        <v>Other</v>
      </c>
      <c r="AB11" s="91" t="e">
        <f>VLOOKUP(AC11,IntAWS[],HLOOKUP("AWS Name",IntAWS[],2,FALSE),FALSE)</f>
        <v>#N/A</v>
      </c>
      <c r="AC11" s="87" t="str">
        <f t="shared" si="2"/>
        <v>Data Error: Check AADTs</v>
      </c>
      <c r="AD11" s="108" t="str">
        <f>IFERROR(VLOOKUP($AC11,IntAWS[],HLOOKUP("KABC Scaler",IntAWS[],2,FALSE),FALSE),"Data Error")</f>
        <v>Data Error</v>
      </c>
      <c r="AE11" s="43">
        <f t="shared" si="3"/>
        <v>0</v>
      </c>
      <c r="AF11" s="42" t="e">
        <f>$Z11*
(VLOOKUP(AC11,IntAWS[],HLOOKUP("Intercept",IntAWS[],2,FALSE),FALSE))*
($N11^VLOOKUP(AC11,IntAWS[],HLOOKUP("Minor AADT",IntAWS[],2,FALSE),FALSE))*
($M11^VLOOKUP(AC11,IntAWS[],HLOOKUP("Major AADT",IntAWS[],2,FALSE),FALSE))</f>
        <v>#N/A</v>
      </c>
      <c r="AG11" s="42" t="e">
        <f>((1/(1+VLOOKUP(AC11,IntAWS[],HLOOKUP("Dispersion Parameter",IntAWS[],2,FALSE),FALSE)*AF11))*AF11
+(1-1/(1+VLOOKUP(AC11,IntAWS[],HLOOKUP("Dispersion Parameter",IntAWS[],2,FALSE),FALSE)*AF11))*AE11)</f>
        <v>#N/A</v>
      </c>
      <c r="AH11" s="43">
        <f t="shared" si="4"/>
        <v>0</v>
      </c>
      <c r="AI11" s="42" t="str">
        <f t="shared" si="5"/>
        <v>Data Error</v>
      </c>
      <c r="AJ11" s="42" t="e">
        <f>((1/(1+VLOOKUP(AC11,IntAWS[],HLOOKUP("Dispersion Parameter",IntAWS[],2,FALSE),FALSE)*AI11))*AI11
+(1-1/(1+VLOOKUP(AC11,IntAWS[],HLOOKUP("Dispersion Parameter",IntAWS[],2,FALSE),FALSE)*AI11))*AH11)</f>
        <v>#N/A</v>
      </c>
      <c r="AK11" s="60">
        <f t="shared" si="6"/>
        <v>0</v>
      </c>
      <c r="AL11" s="60" t="str">
        <f t="shared" ref="AL11:AL38" si="19">IFERROR(IF(AG11&lt;_xlfn.GAMMA.INV($AW$4,AW11,AX11),"LOSS 1",
IF(AG11&lt;AF11,"LOSS 2",
IF(AG11&lt;_xlfn.GAMMA.INV($AY$4,AW11,AX11),"LOSS 3",
IF(AG11&gt;=_xlfn.GAMMA.INV($AY$4,AW11,AX11),"LOSS 4","Error")))),"Missing Data")</f>
        <v>Missing Data</v>
      </c>
      <c r="AM11" s="42" t="str">
        <f t="shared" ref="AM11:AM38" si="20">IFERROR(AG11-AF11,"Missing Data")</f>
        <v>Missing Data</v>
      </c>
      <c r="AN11" s="60" t="str">
        <f t="shared" ref="AN11:AN38" si="21">IFERROR(IF(AJ11&lt;_xlfn.GAMMA.INV($AX$4,AY11,AZ11),"LOSS 1",
IF(AJ11&lt;AI11,"LOSS 2",
IF(AJ11&lt;_xlfn.GAMMA.INV($AZ$4,AY11,AZ11),"LOSS 3",
IF(AJ11&gt;=_xlfn.GAMMA.INV($AZ$4,AY11,AZ11),"LOSS 4","Error")))),"Missing Data")</f>
        <v>Missing Data</v>
      </c>
      <c r="AO11" s="42" t="str">
        <f t="shared" ref="AO11:AO38" si="22">IFERROR(AJ11-AI11,"Missing Data")</f>
        <v>Missing Data</v>
      </c>
      <c r="AP11" s="43">
        <f t="shared" si="11"/>
        <v>0</v>
      </c>
      <c r="AQ11" s="43">
        <f t="shared" si="12"/>
        <v>0</v>
      </c>
      <c r="AR11" s="60" t="str">
        <f t="shared" si="18"/>
        <v>Missing Data</v>
      </c>
      <c r="AS11" s="106"/>
      <c r="AT11" s="106"/>
      <c r="AU11" s="42" t="e">
        <f>VLOOKUP(AC11,IntAWS[],HLOOKUP("Dispersion Parameter",IntAWS[],2,FALSE),FALSE)</f>
        <v>#N/A</v>
      </c>
      <c r="AV11" s="42" t="e">
        <f>VLOOKUP($AC11,IntAWS[],HLOOKUP("Dispersion Parameter",IntAWS[],2,FALSE),FALSE)</f>
        <v>#N/A</v>
      </c>
      <c r="AW11" s="42" t="e">
        <f t="shared" ref="AW11:AW38" si="23">1/AU11</f>
        <v>#N/A</v>
      </c>
      <c r="AX11" s="42" t="e">
        <f t="shared" ref="AX11:AX38" si="24">AF11/AW11</f>
        <v>#N/A</v>
      </c>
      <c r="AY11" s="42" t="e">
        <f t="shared" ref="AY11:AY38" si="25">1/AV11</f>
        <v>#N/A</v>
      </c>
      <c r="AZ11" s="42" t="e">
        <f t="shared" ref="AZ11:AZ38" si="26">AI11/AY11</f>
        <v>#VALUE!</v>
      </c>
    </row>
    <row r="12" spans="1:57" x14ac:dyDescent="0.3">
      <c r="A12" s="109"/>
      <c r="B12" s="60"/>
      <c r="C12" s="60"/>
      <c r="D12" s="101"/>
      <c r="E12" s="60"/>
      <c r="F12" s="60"/>
      <c r="G12" s="43"/>
      <c r="H12" s="109"/>
      <c r="I12" s="109"/>
      <c r="J12" s="60"/>
      <c r="K12" s="60"/>
      <c r="L12" s="60"/>
      <c r="M12" s="60"/>
      <c r="N12" s="60"/>
      <c r="O12" s="60"/>
      <c r="P12" s="60"/>
      <c r="Q12" s="43"/>
      <c r="R12" s="43"/>
      <c r="S12" s="43"/>
      <c r="T12" s="43"/>
      <c r="U12" s="43"/>
      <c r="V12" s="43"/>
      <c r="W12" s="43"/>
      <c r="X12" s="43"/>
      <c r="Y12" s="60" t="str">
        <f t="shared" si="0"/>
        <v/>
      </c>
      <c r="Z12" s="43">
        <f t="shared" si="15"/>
        <v>5</v>
      </c>
      <c r="AA12" s="60" t="str">
        <f t="shared" si="1"/>
        <v>Other</v>
      </c>
      <c r="AB12" s="91" t="e">
        <f>VLOOKUP(AC12,IntAWS[],HLOOKUP("AWS Name",IntAWS[],2,FALSE),FALSE)</f>
        <v>#N/A</v>
      </c>
      <c r="AC12" s="87" t="str">
        <f t="shared" si="2"/>
        <v>Data Error: Check AADTs</v>
      </c>
      <c r="AD12" s="108" t="str">
        <f>IFERROR(VLOOKUP($AC12,IntAWS[],HLOOKUP("KABC Scaler",IntAWS[],2,FALSE),FALSE),"Data Error")</f>
        <v>Data Error</v>
      </c>
      <c r="AE12" s="43">
        <f t="shared" si="3"/>
        <v>0</v>
      </c>
      <c r="AF12" s="42" t="e">
        <f>$Z12*
(VLOOKUP(AC12,IntAWS[],HLOOKUP("Intercept",IntAWS[],2,FALSE),FALSE))*
($N12^VLOOKUP(AC12,IntAWS[],HLOOKUP("Minor AADT",IntAWS[],2,FALSE),FALSE))*
($M12^VLOOKUP(AC12,IntAWS[],HLOOKUP("Major AADT",IntAWS[],2,FALSE),FALSE))</f>
        <v>#N/A</v>
      </c>
      <c r="AG12" s="42" t="e">
        <f>((1/(1+VLOOKUP(AC12,IntAWS[],HLOOKUP("Dispersion Parameter",IntAWS[],2,FALSE),FALSE)*AF12))*AF12
+(1-1/(1+VLOOKUP(AC12,IntAWS[],HLOOKUP("Dispersion Parameter",IntAWS[],2,FALSE),FALSE)*AF12))*AE12)</f>
        <v>#N/A</v>
      </c>
      <c r="AH12" s="43">
        <f t="shared" si="4"/>
        <v>0</v>
      </c>
      <c r="AI12" s="42" t="str">
        <f t="shared" si="5"/>
        <v>Data Error</v>
      </c>
      <c r="AJ12" s="42" t="e">
        <f>((1/(1+VLOOKUP(AC12,IntAWS[],HLOOKUP("Dispersion Parameter",IntAWS[],2,FALSE),FALSE)*AI12))*AI12
+(1-1/(1+VLOOKUP(AC12,IntAWS[],HLOOKUP("Dispersion Parameter",IntAWS[],2,FALSE),FALSE)*AI12))*AH12)</f>
        <v>#N/A</v>
      </c>
      <c r="AK12" s="60">
        <f t="shared" si="6"/>
        <v>0</v>
      </c>
      <c r="AL12" s="60" t="str">
        <f t="shared" si="19"/>
        <v>Missing Data</v>
      </c>
      <c r="AM12" s="42" t="str">
        <f t="shared" si="20"/>
        <v>Missing Data</v>
      </c>
      <c r="AN12" s="60" t="str">
        <f t="shared" si="21"/>
        <v>Missing Data</v>
      </c>
      <c r="AO12" s="42" t="str">
        <f t="shared" si="22"/>
        <v>Missing Data</v>
      </c>
      <c r="AP12" s="43">
        <f t="shared" si="11"/>
        <v>0</v>
      </c>
      <c r="AQ12" s="43">
        <f t="shared" si="12"/>
        <v>0</v>
      </c>
      <c r="AR12" s="60" t="str">
        <f t="shared" si="18"/>
        <v>Missing Data</v>
      </c>
      <c r="AS12" s="106"/>
      <c r="AT12" s="106"/>
      <c r="AU12" s="42" t="e">
        <f>VLOOKUP(AC12,IntAWS[],HLOOKUP("Dispersion Parameter",IntAWS[],2,FALSE),FALSE)</f>
        <v>#N/A</v>
      </c>
      <c r="AV12" s="42" t="e">
        <f>VLOOKUP($AC12,IntAWS[],HLOOKUP("Dispersion Parameter",IntAWS[],2,FALSE),FALSE)</f>
        <v>#N/A</v>
      </c>
      <c r="AW12" s="42" t="e">
        <f t="shared" si="23"/>
        <v>#N/A</v>
      </c>
      <c r="AX12" s="42" t="e">
        <f t="shared" si="24"/>
        <v>#N/A</v>
      </c>
      <c r="AY12" s="42" t="e">
        <f t="shared" si="25"/>
        <v>#N/A</v>
      </c>
      <c r="AZ12" s="42" t="e">
        <f t="shared" si="26"/>
        <v>#VALUE!</v>
      </c>
    </row>
    <row r="13" spans="1:57" x14ac:dyDescent="0.3">
      <c r="A13" s="109"/>
      <c r="B13" s="60"/>
      <c r="C13" s="60"/>
      <c r="D13" s="101"/>
      <c r="E13" s="60"/>
      <c r="F13" s="60"/>
      <c r="G13" s="43"/>
      <c r="H13" s="109"/>
      <c r="I13" s="109"/>
      <c r="J13" s="60"/>
      <c r="K13" s="60"/>
      <c r="L13" s="60"/>
      <c r="M13" s="60"/>
      <c r="N13" s="60"/>
      <c r="O13" s="60"/>
      <c r="P13" s="60"/>
      <c r="Q13" s="43"/>
      <c r="R13" s="43"/>
      <c r="S13" s="43"/>
      <c r="T13" s="43"/>
      <c r="U13" s="43"/>
      <c r="V13" s="43"/>
      <c r="W13" s="43"/>
      <c r="X13" s="43"/>
      <c r="Y13" s="60" t="str">
        <f t="shared" si="0"/>
        <v/>
      </c>
      <c r="Z13" s="43">
        <f t="shared" si="15"/>
        <v>5</v>
      </c>
      <c r="AA13" s="60" t="str">
        <f t="shared" si="1"/>
        <v>Other</v>
      </c>
      <c r="AB13" s="91" t="e">
        <f>VLOOKUP(AC13,IntAWS[],HLOOKUP("AWS Name",IntAWS[],2,FALSE),FALSE)</f>
        <v>#N/A</v>
      </c>
      <c r="AC13" s="87" t="str">
        <f t="shared" si="2"/>
        <v>Data Error: Check AADTs</v>
      </c>
      <c r="AD13" s="108" t="str">
        <f>IFERROR(VLOOKUP($AC13,IntAWS[],HLOOKUP("KABC Scaler",IntAWS[],2,FALSE),FALSE),"Data Error")</f>
        <v>Data Error</v>
      </c>
      <c r="AE13" s="43">
        <f t="shared" si="3"/>
        <v>0</v>
      </c>
      <c r="AF13" s="42" t="e">
        <f>$Z13*
(VLOOKUP(AC13,IntAWS[],HLOOKUP("Intercept",IntAWS[],2,FALSE),FALSE))*
($N13^VLOOKUP(AC13,IntAWS[],HLOOKUP("Minor AADT",IntAWS[],2,FALSE),FALSE))*
($M13^VLOOKUP(AC13,IntAWS[],HLOOKUP("Major AADT",IntAWS[],2,FALSE),FALSE))</f>
        <v>#N/A</v>
      </c>
      <c r="AG13" s="42" t="e">
        <f>((1/(1+VLOOKUP(AC13,IntAWS[],HLOOKUP("Dispersion Parameter",IntAWS[],2,FALSE),FALSE)*AF13))*AF13
+(1-1/(1+VLOOKUP(AC13,IntAWS[],HLOOKUP("Dispersion Parameter",IntAWS[],2,FALSE),FALSE)*AF13))*AE13)</f>
        <v>#N/A</v>
      </c>
      <c r="AH13" s="43">
        <f t="shared" si="4"/>
        <v>0</v>
      </c>
      <c r="AI13" s="42" t="str">
        <f t="shared" si="5"/>
        <v>Data Error</v>
      </c>
      <c r="AJ13" s="42" t="e">
        <f>((1/(1+VLOOKUP(AC13,IntAWS[],HLOOKUP("Dispersion Parameter",IntAWS[],2,FALSE),FALSE)*AI13))*AI13
+(1-1/(1+VLOOKUP(AC13,IntAWS[],HLOOKUP("Dispersion Parameter",IntAWS[],2,FALSE),FALSE)*AI13))*AH13)</f>
        <v>#N/A</v>
      </c>
      <c r="AK13" s="60">
        <f t="shared" si="6"/>
        <v>0</v>
      </c>
      <c r="AL13" s="60" t="str">
        <f t="shared" si="19"/>
        <v>Missing Data</v>
      </c>
      <c r="AM13" s="42" t="str">
        <f t="shared" si="20"/>
        <v>Missing Data</v>
      </c>
      <c r="AN13" s="60" t="str">
        <f t="shared" si="21"/>
        <v>Missing Data</v>
      </c>
      <c r="AO13" s="42" t="str">
        <f t="shared" si="22"/>
        <v>Missing Data</v>
      </c>
      <c r="AP13" s="43">
        <f t="shared" si="11"/>
        <v>0</v>
      </c>
      <c r="AQ13" s="43">
        <f t="shared" si="12"/>
        <v>0</v>
      </c>
      <c r="AR13" s="60" t="str">
        <f t="shared" si="18"/>
        <v>Missing Data</v>
      </c>
      <c r="AS13" s="106"/>
      <c r="AT13" s="106"/>
      <c r="AU13" s="42" t="e">
        <f>VLOOKUP(AC13,IntAWS[],HLOOKUP("Dispersion Parameter",IntAWS[],2,FALSE),FALSE)</f>
        <v>#N/A</v>
      </c>
      <c r="AV13" s="42" t="e">
        <f>VLOOKUP($AC13,IntAWS[],HLOOKUP("Dispersion Parameter",IntAWS[],2,FALSE),FALSE)</f>
        <v>#N/A</v>
      </c>
      <c r="AW13" s="42" t="e">
        <f t="shared" si="23"/>
        <v>#N/A</v>
      </c>
      <c r="AX13" s="42" t="e">
        <f t="shared" si="24"/>
        <v>#N/A</v>
      </c>
      <c r="AY13" s="42" t="e">
        <f t="shared" si="25"/>
        <v>#N/A</v>
      </c>
      <c r="AZ13" s="42" t="e">
        <f t="shared" si="26"/>
        <v>#VALUE!</v>
      </c>
    </row>
    <row r="14" spans="1:57" x14ac:dyDescent="0.3">
      <c r="A14" s="109"/>
      <c r="B14" s="60"/>
      <c r="C14" s="60"/>
      <c r="D14" s="101"/>
      <c r="E14" s="60"/>
      <c r="F14" s="60"/>
      <c r="G14" s="43"/>
      <c r="H14" s="109"/>
      <c r="I14" s="109"/>
      <c r="J14" s="60"/>
      <c r="K14" s="60"/>
      <c r="L14" s="60"/>
      <c r="M14" s="60"/>
      <c r="N14" s="60"/>
      <c r="O14" s="60"/>
      <c r="P14" s="60"/>
      <c r="Q14" s="43"/>
      <c r="R14" s="43"/>
      <c r="S14" s="43"/>
      <c r="T14" s="43"/>
      <c r="U14" s="43"/>
      <c r="V14" s="43"/>
      <c r="W14" s="43"/>
      <c r="X14" s="43"/>
      <c r="Y14" s="60" t="str">
        <f t="shared" si="0"/>
        <v/>
      </c>
      <c r="Z14" s="43">
        <f t="shared" si="15"/>
        <v>5</v>
      </c>
      <c r="AA14" s="60" t="str">
        <f t="shared" si="1"/>
        <v>Other</v>
      </c>
      <c r="AB14" s="91" t="e">
        <f>VLOOKUP(AC14,IntAWS[],HLOOKUP("AWS Name",IntAWS[],2,FALSE),FALSE)</f>
        <v>#N/A</v>
      </c>
      <c r="AC14" s="87" t="str">
        <f t="shared" si="2"/>
        <v>Data Error: Check AADTs</v>
      </c>
      <c r="AD14" s="108" t="str">
        <f>IFERROR(VLOOKUP($AC14,IntAWS[],HLOOKUP("KABC Scaler",IntAWS[],2,FALSE),FALSE),"Data Error")</f>
        <v>Data Error</v>
      </c>
      <c r="AE14" s="43">
        <f t="shared" si="3"/>
        <v>0</v>
      </c>
      <c r="AF14" s="42" t="e">
        <f>$Z14*
(VLOOKUP(AC14,IntAWS[],HLOOKUP("Intercept",IntAWS[],2,FALSE),FALSE))*
($N14^VLOOKUP(AC14,IntAWS[],HLOOKUP("Minor AADT",IntAWS[],2,FALSE),FALSE))*
($M14^VLOOKUP(AC14,IntAWS[],HLOOKUP("Major AADT",IntAWS[],2,FALSE),FALSE))</f>
        <v>#N/A</v>
      </c>
      <c r="AG14" s="42" t="e">
        <f>((1/(1+VLOOKUP(AC14,IntAWS[],HLOOKUP("Dispersion Parameter",IntAWS[],2,FALSE),FALSE)*AF14))*AF14
+(1-1/(1+VLOOKUP(AC14,IntAWS[],HLOOKUP("Dispersion Parameter",IntAWS[],2,FALSE),FALSE)*AF14))*AE14)</f>
        <v>#N/A</v>
      </c>
      <c r="AH14" s="43">
        <f t="shared" si="4"/>
        <v>0</v>
      </c>
      <c r="AI14" s="42" t="str">
        <f t="shared" si="5"/>
        <v>Data Error</v>
      </c>
      <c r="AJ14" s="42" t="e">
        <f>((1/(1+VLOOKUP(AC14,IntAWS[],HLOOKUP("Dispersion Parameter",IntAWS[],2,FALSE),FALSE)*AI14))*AI14
+(1-1/(1+VLOOKUP(AC14,IntAWS[],HLOOKUP("Dispersion Parameter",IntAWS[],2,FALSE),FALSE)*AI14))*AH14)</f>
        <v>#N/A</v>
      </c>
      <c r="AK14" s="60">
        <f t="shared" si="6"/>
        <v>0</v>
      </c>
      <c r="AL14" s="60" t="str">
        <f t="shared" si="19"/>
        <v>Missing Data</v>
      </c>
      <c r="AM14" s="42" t="str">
        <f t="shared" si="20"/>
        <v>Missing Data</v>
      </c>
      <c r="AN14" s="60" t="str">
        <f t="shared" si="21"/>
        <v>Missing Data</v>
      </c>
      <c r="AO14" s="42" t="str">
        <f t="shared" si="22"/>
        <v>Missing Data</v>
      </c>
      <c r="AP14" s="43">
        <f t="shared" si="11"/>
        <v>0</v>
      </c>
      <c r="AQ14" s="43">
        <f t="shared" si="12"/>
        <v>0</v>
      </c>
      <c r="AR14" s="60" t="str">
        <f t="shared" si="18"/>
        <v>Missing Data</v>
      </c>
      <c r="AS14" s="106"/>
      <c r="AT14" s="106"/>
      <c r="AU14" s="42" t="e">
        <f>VLOOKUP(AC14,IntAWS[],HLOOKUP("Dispersion Parameter",IntAWS[],2,FALSE),FALSE)</f>
        <v>#N/A</v>
      </c>
      <c r="AV14" s="42" t="e">
        <f>VLOOKUP($AC14,IntAWS[],HLOOKUP("Dispersion Parameter",IntAWS[],2,FALSE),FALSE)</f>
        <v>#N/A</v>
      </c>
      <c r="AW14" s="42" t="e">
        <f t="shared" si="23"/>
        <v>#N/A</v>
      </c>
      <c r="AX14" s="42" t="e">
        <f t="shared" si="24"/>
        <v>#N/A</v>
      </c>
      <c r="AY14" s="42" t="e">
        <f t="shared" si="25"/>
        <v>#N/A</v>
      </c>
      <c r="AZ14" s="42" t="e">
        <f t="shared" si="26"/>
        <v>#VALUE!</v>
      </c>
    </row>
    <row r="15" spans="1:57" x14ac:dyDescent="0.3">
      <c r="A15" s="109"/>
      <c r="B15" s="60"/>
      <c r="C15" s="60"/>
      <c r="D15" s="101"/>
      <c r="E15" s="60"/>
      <c r="F15" s="60"/>
      <c r="G15" s="43"/>
      <c r="H15" s="109"/>
      <c r="I15" s="109"/>
      <c r="J15" s="60"/>
      <c r="K15" s="60"/>
      <c r="L15" s="60"/>
      <c r="M15" s="60"/>
      <c r="N15" s="60"/>
      <c r="O15" s="60"/>
      <c r="P15" s="60"/>
      <c r="Q15" s="43"/>
      <c r="R15" s="43"/>
      <c r="S15" s="43"/>
      <c r="T15" s="43"/>
      <c r="U15" s="43"/>
      <c r="V15" s="43"/>
      <c r="W15" s="43"/>
      <c r="X15" s="43"/>
      <c r="Y15" s="60" t="str">
        <f t="shared" ref="Y15:Y20" si="27">SUBSTITUTE(SUBSTITUTE(SUBSTITUTE(P15,CHAR(34),""),"[", ""),"]", "")</f>
        <v/>
      </c>
      <c r="Z15" s="43">
        <f t="shared" ref="Z15:Z20" si="28">$Z$4</f>
        <v>5</v>
      </c>
      <c r="AA15" s="60" t="str">
        <f t="shared" si="1"/>
        <v>Other</v>
      </c>
      <c r="AB15" s="91" t="e">
        <f>VLOOKUP(AC15,IntAWS[],HLOOKUP("AWS Name",IntAWS[],2,FALSE),FALSE)</f>
        <v>#N/A</v>
      </c>
      <c r="AC15" s="87" t="str">
        <f t="shared" si="2"/>
        <v>Data Error: Check AADTs</v>
      </c>
      <c r="AD15" s="108" t="str">
        <f>IFERROR(VLOOKUP($AC15,IntAWS[],HLOOKUP("KABC Scaler",IntAWS[],2,FALSE),FALSE),"Data Error")</f>
        <v>Data Error</v>
      </c>
      <c r="AE15" s="43">
        <f t="shared" ref="AE15:AE20" si="29">SUM(S15:X15)</f>
        <v>0</v>
      </c>
      <c r="AF15" s="42" t="e">
        <f>$Z15*
(VLOOKUP(AC15,IntAWS[],HLOOKUP("Intercept",IntAWS[],2,FALSE),FALSE))*
($N15^VLOOKUP(AC15,IntAWS[],HLOOKUP("Minor AADT",IntAWS[],2,FALSE),FALSE))*
($M15^VLOOKUP(AC15,IntAWS[],HLOOKUP("Major AADT",IntAWS[],2,FALSE),FALSE))</f>
        <v>#N/A</v>
      </c>
      <c r="AG15" s="42" t="e">
        <f>((1/(1+VLOOKUP(AC15,IntAWS[],HLOOKUP("Dispersion Parameter",IntAWS[],2,FALSE),FALSE)*AF15))*AF15
+(1-1/(1+VLOOKUP(AC15,IntAWS[],HLOOKUP("Dispersion Parameter",IntAWS[],2,FALSE),FALSE)*AF15))*AE15)</f>
        <v>#N/A</v>
      </c>
      <c r="AH15" s="43">
        <f t="shared" ref="AH15:AH20" si="30">SUM(S15:V15)</f>
        <v>0</v>
      </c>
      <c r="AI15" s="42" t="str">
        <f t="shared" ref="AI15:AI20" si="31">IFERROR($AD15*$AF15,"Data Error")</f>
        <v>Data Error</v>
      </c>
      <c r="AJ15" s="42" t="e">
        <f>((1/(1+VLOOKUP(AC15,IntAWS[],HLOOKUP("Dispersion Parameter",IntAWS[],2,FALSE),FALSE)*AI15))*AI15
+(1-1/(1+VLOOKUP(AC15,IntAWS[],HLOOKUP("Dispersion Parameter",IntAWS[],2,FALSE),FALSE)*AI15))*AH15)</f>
        <v>#N/A</v>
      </c>
      <c r="AK15" s="60">
        <f t="shared" ref="AK15:AK20" si="32">A15</f>
        <v>0</v>
      </c>
      <c r="AL15" s="60" t="str">
        <f t="shared" ref="AL15:AL20" si="33">IFERROR(IF(AG15&lt;_xlfn.GAMMA.INV($AW$4,AW15,AX15),"LOSS 1",
IF(AG15&lt;AF15,"LOSS 2",
IF(AG15&lt;_xlfn.GAMMA.INV($AY$4,AW15,AX15),"LOSS 3",
IF(AG15&gt;=_xlfn.GAMMA.INV($AY$4,AW15,AX15),"LOSS 4","Error")))),"Missing Data")</f>
        <v>Missing Data</v>
      </c>
      <c r="AM15" s="42" t="str">
        <f t="shared" ref="AM15:AM20" si="34">IFERROR(AG15-AF15,"Missing Data")</f>
        <v>Missing Data</v>
      </c>
      <c r="AN15" s="60" t="str">
        <f t="shared" ref="AN15:AN20" si="35">IFERROR(IF(AJ15&lt;_xlfn.GAMMA.INV($AX$4,AY15,AZ15),"LOSS 1",
IF(AJ15&lt;AI15,"LOSS 2",
IF(AJ15&lt;_xlfn.GAMMA.INV($AZ$4,AY15,AZ15),"LOSS 3",
IF(AJ15&gt;=_xlfn.GAMMA.INV($AZ$4,AY15,AZ15),"LOSS 4","Error")))),"Missing Data")</f>
        <v>Missing Data</v>
      </c>
      <c r="AO15" s="42" t="str">
        <f t="shared" ref="AO15:AO20" si="36">IFERROR(AJ15-AI15,"Missing Data")</f>
        <v>Missing Data</v>
      </c>
      <c r="AP15" s="43">
        <f t="shared" ref="AP15:AP20" si="37">Q15</f>
        <v>0</v>
      </c>
      <c r="AQ15" s="43">
        <f t="shared" ref="AQ15:AQ20" si="38">R15</f>
        <v>0</v>
      </c>
      <c r="AR15" s="60" t="str">
        <f t="shared" si="18"/>
        <v>Missing Data</v>
      </c>
      <c r="AS15" s="106"/>
      <c r="AT15" s="106"/>
      <c r="AU15" s="42" t="e">
        <f>VLOOKUP(AC15,IntAWS[],HLOOKUP("Dispersion Parameter",IntAWS[],2,FALSE),FALSE)</f>
        <v>#N/A</v>
      </c>
      <c r="AV15" s="42" t="e">
        <f>VLOOKUP($AC15,IntAWS[],HLOOKUP("Dispersion Parameter",IntAWS[],2,FALSE),FALSE)</f>
        <v>#N/A</v>
      </c>
      <c r="AW15" s="42" t="e">
        <f t="shared" ref="AW15:AW20" si="39">1/AU15</f>
        <v>#N/A</v>
      </c>
      <c r="AX15" s="42" t="e">
        <f t="shared" ref="AX15:AX20" si="40">AF15/AW15</f>
        <v>#N/A</v>
      </c>
      <c r="AY15" s="42" t="e">
        <f t="shared" ref="AY15:AY20" si="41">1/AV15</f>
        <v>#N/A</v>
      </c>
      <c r="AZ15" s="42" t="e">
        <f t="shared" ref="AZ15:AZ20" si="42">AI15/AY15</f>
        <v>#VALUE!</v>
      </c>
    </row>
    <row r="16" spans="1:57" x14ac:dyDescent="0.3">
      <c r="A16" s="109"/>
      <c r="B16" s="60"/>
      <c r="C16" s="60"/>
      <c r="D16" s="101"/>
      <c r="E16" s="60"/>
      <c r="F16" s="60"/>
      <c r="G16" s="43"/>
      <c r="H16" s="109"/>
      <c r="I16" s="109"/>
      <c r="J16" s="60"/>
      <c r="K16" s="60"/>
      <c r="L16" s="60"/>
      <c r="M16" s="60"/>
      <c r="N16" s="60"/>
      <c r="O16" s="60"/>
      <c r="P16" s="60"/>
      <c r="Q16" s="43"/>
      <c r="R16" s="43"/>
      <c r="S16" s="43"/>
      <c r="T16" s="43"/>
      <c r="U16" s="43"/>
      <c r="V16" s="43"/>
      <c r="W16" s="43"/>
      <c r="X16" s="43"/>
      <c r="Y16" s="60" t="str">
        <f t="shared" si="27"/>
        <v/>
      </c>
      <c r="Z16" s="43">
        <f t="shared" si="28"/>
        <v>5</v>
      </c>
      <c r="AA16" s="60" t="str">
        <f t="shared" si="1"/>
        <v>Other</v>
      </c>
      <c r="AB16" s="91" t="e">
        <f>VLOOKUP(AC16,IntAWS[],HLOOKUP("AWS Name",IntAWS[],2,FALSE),FALSE)</f>
        <v>#N/A</v>
      </c>
      <c r="AC16" s="87" t="str">
        <f t="shared" si="2"/>
        <v>Data Error: Check AADTs</v>
      </c>
      <c r="AD16" s="108" t="str">
        <f>IFERROR(VLOOKUP($AC16,IntAWS[],HLOOKUP("KABC Scaler",IntAWS[],2,FALSE),FALSE),"Data Error")</f>
        <v>Data Error</v>
      </c>
      <c r="AE16" s="43">
        <f t="shared" si="29"/>
        <v>0</v>
      </c>
      <c r="AF16" s="42" t="e">
        <f>$Z16*
(VLOOKUP(AC16,IntAWS[],HLOOKUP("Intercept",IntAWS[],2,FALSE),FALSE))*
($N16^VLOOKUP(AC16,IntAWS[],HLOOKUP("Minor AADT",IntAWS[],2,FALSE),FALSE))*
($M16^VLOOKUP(AC16,IntAWS[],HLOOKUP("Major AADT",IntAWS[],2,FALSE),FALSE))</f>
        <v>#N/A</v>
      </c>
      <c r="AG16" s="42" t="e">
        <f>((1/(1+VLOOKUP(AC16,IntAWS[],HLOOKUP("Dispersion Parameter",IntAWS[],2,FALSE),FALSE)*AF16))*AF16
+(1-1/(1+VLOOKUP(AC16,IntAWS[],HLOOKUP("Dispersion Parameter",IntAWS[],2,FALSE),FALSE)*AF16))*AE16)</f>
        <v>#N/A</v>
      </c>
      <c r="AH16" s="43">
        <f t="shared" si="30"/>
        <v>0</v>
      </c>
      <c r="AI16" s="42" t="str">
        <f t="shared" si="31"/>
        <v>Data Error</v>
      </c>
      <c r="AJ16" s="42" t="e">
        <f>((1/(1+VLOOKUP(AC16,IntAWS[],HLOOKUP("Dispersion Parameter",IntAWS[],2,FALSE),FALSE)*AI16))*AI16
+(1-1/(1+VLOOKUP(AC16,IntAWS[],HLOOKUP("Dispersion Parameter",IntAWS[],2,FALSE),FALSE)*AI16))*AH16)</f>
        <v>#N/A</v>
      </c>
      <c r="AK16" s="60">
        <f t="shared" si="32"/>
        <v>0</v>
      </c>
      <c r="AL16" s="60" t="str">
        <f t="shared" si="33"/>
        <v>Missing Data</v>
      </c>
      <c r="AM16" s="42" t="str">
        <f t="shared" si="34"/>
        <v>Missing Data</v>
      </c>
      <c r="AN16" s="60" t="str">
        <f t="shared" si="35"/>
        <v>Missing Data</v>
      </c>
      <c r="AO16" s="42" t="str">
        <f t="shared" si="36"/>
        <v>Missing Data</v>
      </c>
      <c r="AP16" s="43">
        <f t="shared" si="37"/>
        <v>0</v>
      </c>
      <c r="AQ16" s="43">
        <f t="shared" si="38"/>
        <v>0</v>
      </c>
      <c r="AR16" s="60" t="str">
        <f t="shared" si="18"/>
        <v>Missing Data</v>
      </c>
      <c r="AS16" s="106"/>
      <c r="AT16" s="106"/>
      <c r="AU16" s="42" t="e">
        <f>VLOOKUP(AC16,IntAWS[],HLOOKUP("Dispersion Parameter",IntAWS[],2,FALSE),FALSE)</f>
        <v>#N/A</v>
      </c>
      <c r="AV16" s="42" t="e">
        <f>VLOOKUP($AC16,IntAWS[],HLOOKUP("Dispersion Parameter",IntAWS[],2,FALSE),FALSE)</f>
        <v>#N/A</v>
      </c>
      <c r="AW16" s="42" t="e">
        <f t="shared" si="39"/>
        <v>#N/A</v>
      </c>
      <c r="AX16" s="42" t="e">
        <f t="shared" si="40"/>
        <v>#N/A</v>
      </c>
      <c r="AY16" s="42" t="e">
        <f t="shared" si="41"/>
        <v>#N/A</v>
      </c>
      <c r="AZ16" s="42" t="e">
        <f t="shared" si="42"/>
        <v>#VALUE!</v>
      </c>
    </row>
    <row r="17" spans="1:52" x14ac:dyDescent="0.3">
      <c r="A17" s="109"/>
      <c r="B17" s="60"/>
      <c r="C17" s="60"/>
      <c r="D17" s="101"/>
      <c r="E17" s="60"/>
      <c r="F17" s="60"/>
      <c r="G17" s="43"/>
      <c r="H17" s="109"/>
      <c r="I17" s="109"/>
      <c r="J17" s="60"/>
      <c r="K17" s="60"/>
      <c r="L17" s="60"/>
      <c r="M17" s="60"/>
      <c r="N17" s="60"/>
      <c r="O17" s="60"/>
      <c r="P17" s="60"/>
      <c r="Q17" s="43"/>
      <c r="R17" s="43"/>
      <c r="S17" s="43"/>
      <c r="T17" s="43"/>
      <c r="U17" s="43"/>
      <c r="V17" s="43"/>
      <c r="W17" s="43"/>
      <c r="X17" s="43"/>
      <c r="Y17" s="60" t="str">
        <f t="shared" si="27"/>
        <v/>
      </c>
      <c r="Z17" s="43">
        <f t="shared" si="28"/>
        <v>5</v>
      </c>
      <c r="AA17" s="60" t="str">
        <f t="shared" si="1"/>
        <v>Other</v>
      </c>
      <c r="AB17" s="91" t="e">
        <f>VLOOKUP(AC17,IntAWS[],HLOOKUP("AWS Name",IntAWS[],2,FALSE),FALSE)</f>
        <v>#N/A</v>
      </c>
      <c r="AC17" s="87" t="str">
        <f t="shared" si="2"/>
        <v>Data Error: Check AADTs</v>
      </c>
      <c r="AD17" s="108" t="str">
        <f>IFERROR(VLOOKUP($AC17,IntAWS[],HLOOKUP("KABC Scaler",IntAWS[],2,FALSE),FALSE),"Data Error")</f>
        <v>Data Error</v>
      </c>
      <c r="AE17" s="43">
        <f t="shared" si="29"/>
        <v>0</v>
      </c>
      <c r="AF17" s="42" t="e">
        <f>$Z17*
(VLOOKUP(AC17,IntAWS[],HLOOKUP("Intercept",IntAWS[],2,FALSE),FALSE))*
($N17^VLOOKUP(AC17,IntAWS[],HLOOKUP("Minor AADT",IntAWS[],2,FALSE),FALSE))*
($M17^VLOOKUP(AC17,IntAWS[],HLOOKUP("Major AADT",IntAWS[],2,FALSE),FALSE))</f>
        <v>#N/A</v>
      </c>
      <c r="AG17" s="42" t="e">
        <f>((1/(1+VLOOKUP(AC17,IntAWS[],HLOOKUP("Dispersion Parameter",IntAWS[],2,FALSE),FALSE)*AF17))*AF17
+(1-1/(1+VLOOKUP(AC17,IntAWS[],HLOOKUP("Dispersion Parameter",IntAWS[],2,FALSE),FALSE)*AF17))*AE17)</f>
        <v>#N/A</v>
      </c>
      <c r="AH17" s="43">
        <f t="shared" si="30"/>
        <v>0</v>
      </c>
      <c r="AI17" s="42" t="str">
        <f t="shared" si="31"/>
        <v>Data Error</v>
      </c>
      <c r="AJ17" s="42" t="e">
        <f>((1/(1+VLOOKUP(AC17,IntAWS[],HLOOKUP("Dispersion Parameter",IntAWS[],2,FALSE),FALSE)*AI17))*AI17
+(1-1/(1+VLOOKUP(AC17,IntAWS[],HLOOKUP("Dispersion Parameter",IntAWS[],2,FALSE),FALSE)*AI17))*AH17)</f>
        <v>#N/A</v>
      </c>
      <c r="AK17" s="60">
        <f t="shared" si="32"/>
        <v>0</v>
      </c>
      <c r="AL17" s="60" t="str">
        <f t="shared" si="33"/>
        <v>Missing Data</v>
      </c>
      <c r="AM17" s="42" t="str">
        <f t="shared" si="34"/>
        <v>Missing Data</v>
      </c>
      <c r="AN17" s="60" t="str">
        <f t="shared" si="35"/>
        <v>Missing Data</v>
      </c>
      <c r="AO17" s="42" t="str">
        <f t="shared" si="36"/>
        <v>Missing Data</v>
      </c>
      <c r="AP17" s="43">
        <f t="shared" si="37"/>
        <v>0</v>
      </c>
      <c r="AQ17" s="43">
        <f t="shared" si="38"/>
        <v>0</v>
      </c>
      <c r="AR17" s="60" t="str">
        <f t="shared" si="18"/>
        <v>Missing Data</v>
      </c>
      <c r="AS17" s="106"/>
      <c r="AT17" s="106"/>
      <c r="AU17" s="42" t="e">
        <f>VLOOKUP(AC17,IntAWS[],HLOOKUP("Dispersion Parameter",IntAWS[],2,FALSE),FALSE)</f>
        <v>#N/A</v>
      </c>
      <c r="AV17" s="42" t="e">
        <f>VLOOKUP($AC17,IntAWS[],HLOOKUP("Dispersion Parameter",IntAWS[],2,FALSE),FALSE)</f>
        <v>#N/A</v>
      </c>
      <c r="AW17" s="42" t="e">
        <f t="shared" si="39"/>
        <v>#N/A</v>
      </c>
      <c r="AX17" s="42" t="e">
        <f t="shared" si="40"/>
        <v>#N/A</v>
      </c>
      <c r="AY17" s="42" t="e">
        <f t="shared" si="41"/>
        <v>#N/A</v>
      </c>
      <c r="AZ17" s="42" t="e">
        <f t="shared" si="42"/>
        <v>#VALUE!</v>
      </c>
    </row>
    <row r="18" spans="1:52" x14ac:dyDescent="0.3">
      <c r="A18" s="109"/>
      <c r="B18" s="60"/>
      <c r="C18" s="60"/>
      <c r="D18" s="101"/>
      <c r="E18" s="60"/>
      <c r="F18" s="60"/>
      <c r="G18" s="43"/>
      <c r="H18" s="109"/>
      <c r="I18" s="109"/>
      <c r="J18" s="60"/>
      <c r="K18" s="60"/>
      <c r="L18" s="60"/>
      <c r="M18" s="60"/>
      <c r="N18" s="60"/>
      <c r="O18" s="60"/>
      <c r="P18" s="60"/>
      <c r="Q18" s="43"/>
      <c r="R18" s="43"/>
      <c r="S18" s="43"/>
      <c r="T18" s="43"/>
      <c r="U18" s="43"/>
      <c r="V18" s="43"/>
      <c r="W18" s="43"/>
      <c r="X18" s="43"/>
      <c r="Y18" s="60" t="str">
        <f t="shared" si="27"/>
        <v/>
      </c>
      <c r="Z18" s="43">
        <f t="shared" si="28"/>
        <v>5</v>
      </c>
      <c r="AA18" s="60" t="str">
        <f t="shared" si="1"/>
        <v>Other</v>
      </c>
      <c r="AB18" s="91" t="e">
        <f>VLOOKUP(AC18,IntAWS[],HLOOKUP("AWS Name",IntAWS[],2,FALSE),FALSE)</f>
        <v>#N/A</v>
      </c>
      <c r="AC18" s="87" t="str">
        <f t="shared" si="2"/>
        <v>Data Error: Check AADTs</v>
      </c>
      <c r="AD18" s="108" t="str">
        <f>IFERROR(VLOOKUP($AC18,IntAWS[],HLOOKUP("KABC Scaler",IntAWS[],2,FALSE),FALSE),"Data Error")</f>
        <v>Data Error</v>
      </c>
      <c r="AE18" s="43">
        <f t="shared" si="29"/>
        <v>0</v>
      </c>
      <c r="AF18" s="42" t="e">
        <f>$Z18*
(VLOOKUP(AC18,IntAWS[],HLOOKUP("Intercept",IntAWS[],2,FALSE),FALSE))*
($N18^VLOOKUP(AC18,IntAWS[],HLOOKUP("Minor AADT",IntAWS[],2,FALSE),FALSE))*
($M18^VLOOKUP(AC18,IntAWS[],HLOOKUP("Major AADT",IntAWS[],2,FALSE),FALSE))</f>
        <v>#N/A</v>
      </c>
      <c r="AG18" s="42" t="e">
        <f>((1/(1+VLOOKUP(AC18,IntAWS[],HLOOKUP("Dispersion Parameter",IntAWS[],2,FALSE),FALSE)*AF18))*AF18
+(1-1/(1+VLOOKUP(AC18,IntAWS[],HLOOKUP("Dispersion Parameter",IntAWS[],2,FALSE),FALSE)*AF18))*AE18)</f>
        <v>#N/A</v>
      </c>
      <c r="AH18" s="43">
        <f t="shared" si="30"/>
        <v>0</v>
      </c>
      <c r="AI18" s="42" t="str">
        <f t="shared" si="31"/>
        <v>Data Error</v>
      </c>
      <c r="AJ18" s="42" t="e">
        <f>((1/(1+VLOOKUP(AC18,IntAWS[],HLOOKUP("Dispersion Parameter",IntAWS[],2,FALSE),FALSE)*AI18))*AI18
+(1-1/(1+VLOOKUP(AC18,IntAWS[],HLOOKUP("Dispersion Parameter",IntAWS[],2,FALSE),FALSE)*AI18))*AH18)</f>
        <v>#N/A</v>
      </c>
      <c r="AK18" s="60">
        <f t="shared" si="32"/>
        <v>0</v>
      </c>
      <c r="AL18" s="60" t="str">
        <f t="shared" si="33"/>
        <v>Missing Data</v>
      </c>
      <c r="AM18" s="42" t="str">
        <f t="shared" si="34"/>
        <v>Missing Data</v>
      </c>
      <c r="AN18" s="60" t="str">
        <f t="shared" si="35"/>
        <v>Missing Data</v>
      </c>
      <c r="AO18" s="42" t="str">
        <f t="shared" si="36"/>
        <v>Missing Data</v>
      </c>
      <c r="AP18" s="43">
        <f t="shared" si="37"/>
        <v>0</v>
      </c>
      <c r="AQ18" s="43">
        <f t="shared" si="38"/>
        <v>0</v>
      </c>
      <c r="AR18" s="60" t="str">
        <f t="shared" si="18"/>
        <v>Missing Data</v>
      </c>
      <c r="AS18" s="106"/>
      <c r="AT18" s="106"/>
      <c r="AU18" s="42" t="e">
        <f>VLOOKUP(AC18,IntAWS[],HLOOKUP("Dispersion Parameter",IntAWS[],2,FALSE),FALSE)</f>
        <v>#N/A</v>
      </c>
      <c r="AV18" s="42" t="e">
        <f>VLOOKUP($AC18,IntAWS[],HLOOKUP("Dispersion Parameter",IntAWS[],2,FALSE),FALSE)</f>
        <v>#N/A</v>
      </c>
      <c r="AW18" s="42" t="e">
        <f t="shared" si="39"/>
        <v>#N/A</v>
      </c>
      <c r="AX18" s="42" t="e">
        <f t="shared" si="40"/>
        <v>#N/A</v>
      </c>
      <c r="AY18" s="42" t="e">
        <f t="shared" si="41"/>
        <v>#N/A</v>
      </c>
      <c r="AZ18" s="42" t="e">
        <f t="shared" si="42"/>
        <v>#VALUE!</v>
      </c>
    </row>
    <row r="19" spans="1:52" x14ac:dyDescent="0.3">
      <c r="A19" s="109"/>
      <c r="B19" s="60"/>
      <c r="C19" s="60"/>
      <c r="D19" s="101"/>
      <c r="E19" s="60"/>
      <c r="F19" s="60"/>
      <c r="G19" s="43"/>
      <c r="H19" s="109"/>
      <c r="I19" s="109"/>
      <c r="J19" s="60"/>
      <c r="K19" s="60"/>
      <c r="L19" s="60"/>
      <c r="M19" s="60"/>
      <c r="N19" s="60"/>
      <c r="O19" s="60"/>
      <c r="P19" s="60"/>
      <c r="Q19" s="43"/>
      <c r="R19" s="43"/>
      <c r="S19" s="43"/>
      <c r="T19" s="43"/>
      <c r="U19" s="43"/>
      <c r="V19" s="43"/>
      <c r="W19" s="43"/>
      <c r="X19" s="43"/>
      <c r="Y19" s="60" t="str">
        <f t="shared" si="27"/>
        <v/>
      </c>
      <c r="Z19" s="43">
        <f t="shared" si="28"/>
        <v>5</v>
      </c>
      <c r="AA19" s="60" t="str">
        <f t="shared" si="1"/>
        <v>Other</v>
      </c>
      <c r="AB19" s="91" t="e">
        <f>VLOOKUP(AC19,IntAWS[],HLOOKUP("AWS Name",IntAWS[],2,FALSE),FALSE)</f>
        <v>#N/A</v>
      </c>
      <c r="AC19" s="87" t="str">
        <f t="shared" si="2"/>
        <v>Data Error: Check AADTs</v>
      </c>
      <c r="AD19" s="108" t="str">
        <f>IFERROR(VLOOKUP($AC19,IntAWS[],HLOOKUP("KABC Scaler",IntAWS[],2,FALSE),FALSE),"Data Error")</f>
        <v>Data Error</v>
      </c>
      <c r="AE19" s="43">
        <f t="shared" si="29"/>
        <v>0</v>
      </c>
      <c r="AF19" s="42" t="e">
        <f>$Z19*
(VLOOKUP(AC19,IntAWS[],HLOOKUP("Intercept",IntAWS[],2,FALSE),FALSE))*
($N19^VLOOKUP(AC19,IntAWS[],HLOOKUP("Minor AADT",IntAWS[],2,FALSE),FALSE))*
($M19^VLOOKUP(AC19,IntAWS[],HLOOKUP("Major AADT",IntAWS[],2,FALSE),FALSE))</f>
        <v>#N/A</v>
      </c>
      <c r="AG19" s="42" t="e">
        <f>((1/(1+VLOOKUP(AC19,IntAWS[],HLOOKUP("Dispersion Parameter",IntAWS[],2,FALSE),FALSE)*AF19))*AF19
+(1-1/(1+VLOOKUP(AC19,IntAWS[],HLOOKUP("Dispersion Parameter",IntAWS[],2,FALSE),FALSE)*AF19))*AE19)</f>
        <v>#N/A</v>
      </c>
      <c r="AH19" s="43">
        <f t="shared" si="30"/>
        <v>0</v>
      </c>
      <c r="AI19" s="42" t="str">
        <f t="shared" si="31"/>
        <v>Data Error</v>
      </c>
      <c r="AJ19" s="42" t="e">
        <f>((1/(1+VLOOKUP(AC19,IntAWS[],HLOOKUP("Dispersion Parameter",IntAWS[],2,FALSE),FALSE)*AI19))*AI19
+(1-1/(1+VLOOKUP(AC19,IntAWS[],HLOOKUP("Dispersion Parameter",IntAWS[],2,FALSE),FALSE)*AI19))*AH19)</f>
        <v>#N/A</v>
      </c>
      <c r="AK19" s="60">
        <f t="shared" si="32"/>
        <v>0</v>
      </c>
      <c r="AL19" s="60" t="str">
        <f t="shared" si="33"/>
        <v>Missing Data</v>
      </c>
      <c r="AM19" s="42" t="str">
        <f t="shared" si="34"/>
        <v>Missing Data</v>
      </c>
      <c r="AN19" s="60" t="str">
        <f t="shared" si="35"/>
        <v>Missing Data</v>
      </c>
      <c r="AO19" s="42" t="str">
        <f t="shared" si="36"/>
        <v>Missing Data</v>
      </c>
      <c r="AP19" s="43">
        <f t="shared" si="37"/>
        <v>0</v>
      </c>
      <c r="AQ19" s="43">
        <f t="shared" si="38"/>
        <v>0</v>
      </c>
      <c r="AR19" s="60" t="str">
        <f t="shared" si="18"/>
        <v>Missing Data</v>
      </c>
      <c r="AS19" s="106"/>
      <c r="AT19" s="106"/>
      <c r="AU19" s="42" t="e">
        <f>VLOOKUP(AC19,IntAWS[],HLOOKUP("Dispersion Parameter",IntAWS[],2,FALSE),FALSE)</f>
        <v>#N/A</v>
      </c>
      <c r="AV19" s="42" t="e">
        <f>VLOOKUP($AC19,IntAWS[],HLOOKUP("Dispersion Parameter",IntAWS[],2,FALSE),FALSE)</f>
        <v>#N/A</v>
      </c>
      <c r="AW19" s="42" t="e">
        <f t="shared" si="39"/>
        <v>#N/A</v>
      </c>
      <c r="AX19" s="42" t="e">
        <f t="shared" si="40"/>
        <v>#N/A</v>
      </c>
      <c r="AY19" s="42" t="e">
        <f t="shared" si="41"/>
        <v>#N/A</v>
      </c>
      <c r="AZ19" s="42" t="e">
        <f t="shared" si="42"/>
        <v>#VALUE!</v>
      </c>
    </row>
    <row r="20" spans="1:52" x14ac:dyDescent="0.3">
      <c r="A20" s="109"/>
      <c r="B20" s="60"/>
      <c r="C20" s="60"/>
      <c r="D20" s="101"/>
      <c r="E20" s="60"/>
      <c r="F20" s="60"/>
      <c r="G20" s="43"/>
      <c r="H20" s="109"/>
      <c r="I20" s="109"/>
      <c r="J20" s="60"/>
      <c r="K20" s="60"/>
      <c r="L20" s="60"/>
      <c r="M20" s="60"/>
      <c r="N20" s="60"/>
      <c r="O20" s="60"/>
      <c r="P20" s="60"/>
      <c r="Q20" s="43"/>
      <c r="R20" s="43"/>
      <c r="S20" s="43"/>
      <c r="T20" s="43"/>
      <c r="U20" s="43"/>
      <c r="V20" s="43"/>
      <c r="W20" s="43"/>
      <c r="X20" s="43"/>
      <c r="Y20" s="60" t="str">
        <f t="shared" si="27"/>
        <v/>
      </c>
      <c r="Z20" s="43">
        <f t="shared" si="28"/>
        <v>5</v>
      </c>
      <c r="AA20" s="60" t="str">
        <f t="shared" si="1"/>
        <v>Other</v>
      </c>
      <c r="AB20" s="91" t="e">
        <f>VLOOKUP(AC20,IntAWS[],HLOOKUP("AWS Name",IntAWS[],2,FALSE),FALSE)</f>
        <v>#N/A</v>
      </c>
      <c r="AC20" s="87" t="str">
        <f t="shared" si="2"/>
        <v>Data Error: Check AADTs</v>
      </c>
      <c r="AD20" s="108" t="str">
        <f>IFERROR(VLOOKUP($AC20,IntAWS[],HLOOKUP("KABC Scaler",IntAWS[],2,FALSE),FALSE),"Data Error")</f>
        <v>Data Error</v>
      </c>
      <c r="AE20" s="43">
        <f t="shared" si="29"/>
        <v>0</v>
      </c>
      <c r="AF20" s="42" t="e">
        <f>$Z20*
(VLOOKUP(AC20,IntAWS[],HLOOKUP("Intercept",IntAWS[],2,FALSE),FALSE))*
($N20^VLOOKUP(AC20,IntAWS[],HLOOKUP("Minor AADT",IntAWS[],2,FALSE),FALSE))*
($M20^VLOOKUP(AC20,IntAWS[],HLOOKUP("Major AADT",IntAWS[],2,FALSE),FALSE))</f>
        <v>#N/A</v>
      </c>
      <c r="AG20" s="42" t="e">
        <f>((1/(1+VLOOKUP(AC20,IntAWS[],HLOOKUP("Dispersion Parameter",IntAWS[],2,FALSE),FALSE)*AF20))*AF20
+(1-1/(1+VLOOKUP(AC20,IntAWS[],HLOOKUP("Dispersion Parameter",IntAWS[],2,FALSE),FALSE)*AF20))*AE20)</f>
        <v>#N/A</v>
      </c>
      <c r="AH20" s="43">
        <f t="shared" si="30"/>
        <v>0</v>
      </c>
      <c r="AI20" s="42" t="str">
        <f t="shared" si="31"/>
        <v>Data Error</v>
      </c>
      <c r="AJ20" s="42" t="e">
        <f>((1/(1+VLOOKUP(AC20,IntAWS[],HLOOKUP("Dispersion Parameter",IntAWS[],2,FALSE),FALSE)*AI20))*AI20
+(1-1/(1+VLOOKUP(AC20,IntAWS[],HLOOKUP("Dispersion Parameter",IntAWS[],2,FALSE),FALSE)*AI20))*AH20)</f>
        <v>#N/A</v>
      </c>
      <c r="AK20" s="60">
        <f t="shared" si="32"/>
        <v>0</v>
      </c>
      <c r="AL20" s="60" t="str">
        <f t="shared" si="33"/>
        <v>Missing Data</v>
      </c>
      <c r="AM20" s="42" t="str">
        <f t="shared" si="34"/>
        <v>Missing Data</v>
      </c>
      <c r="AN20" s="60" t="str">
        <f t="shared" si="35"/>
        <v>Missing Data</v>
      </c>
      <c r="AO20" s="42" t="str">
        <f t="shared" si="36"/>
        <v>Missing Data</v>
      </c>
      <c r="AP20" s="43">
        <f t="shared" si="37"/>
        <v>0</v>
      </c>
      <c r="AQ20" s="43">
        <f t="shared" si="38"/>
        <v>0</v>
      </c>
      <c r="AR20" s="60" t="str">
        <f t="shared" si="18"/>
        <v>Missing Data</v>
      </c>
      <c r="AS20" s="106"/>
      <c r="AT20" s="106"/>
      <c r="AU20" s="42" t="e">
        <f>VLOOKUP(AC20,IntAWS[],HLOOKUP("Dispersion Parameter",IntAWS[],2,FALSE),FALSE)</f>
        <v>#N/A</v>
      </c>
      <c r="AV20" s="42" t="e">
        <f>VLOOKUP($AC20,IntAWS[],HLOOKUP("Dispersion Parameter",IntAWS[],2,FALSE),FALSE)</f>
        <v>#N/A</v>
      </c>
      <c r="AW20" s="42" t="e">
        <f t="shared" si="39"/>
        <v>#N/A</v>
      </c>
      <c r="AX20" s="42" t="e">
        <f t="shared" si="40"/>
        <v>#N/A</v>
      </c>
      <c r="AY20" s="42" t="e">
        <f t="shared" si="41"/>
        <v>#N/A</v>
      </c>
      <c r="AZ20" s="42" t="e">
        <f t="shared" si="42"/>
        <v>#VALUE!</v>
      </c>
    </row>
    <row r="21" spans="1:52" x14ac:dyDescent="0.3">
      <c r="A21" s="109"/>
      <c r="B21" s="60"/>
      <c r="C21" s="60"/>
      <c r="D21" s="101"/>
      <c r="E21" s="60"/>
      <c r="F21" s="60"/>
      <c r="G21" s="43"/>
      <c r="H21" s="109"/>
      <c r="I21" s="109"/>
      <c r="J21" s="60"/>
      <c r="K21" s="60"/>
      <c r="L21" s="60"/>
      <c r="M21" s="60"/>
      <c r="N21" s="60"/>
      <c r="O21" s="60"/>
      <c r="P21" s="60"/>
      <c r="Q21" s="43"/>
      <c r="R21" s="43"/>
      <c r="S21" s="43"/>
      <c r="T21" s="43"/>
      <c r="U21" s="43"/>
      <c r="V21" s="43"/>
      <c r="W21" s="43"/>
      <c r="X21" s="43"/>
      <c r="Y21" s="60" t="str">
        <f t="shared" si="0"/>
        <v/>
      </c>
      <c r="Z21" s="43">
        <f t="shared" si="15"/>
        <v>5</v>
      </c>
      <c r="AA21" s="60" t="str">
        <f t="shared" si="1"/>
        <v>Other</v>
      </c>
      <c r="AB21" s="91" t="e">
        <f>VLOOKUP(AC21,IntAWS[],HLOOKUP("AWS Name",IntAWS[],2,FALSE),FALSE)</f>
        <v>#N/A</v>
      </c>
      <c r="AC21" s="87" t="str">
        <f t="shared" si="2"/>
        <v>Data Error: Check AADTs</v>
      </c>
      <c r="AD21" s="108" t="str">
        <f>IFERROR(VLOOKUP($AC21,IntAWS[],HLOOKUP("KABC Scaler",IntAWS[],2,FALSE),FALSE),"Data Error")</f>
        <v>Data Error</v>
      </c>
      <c r="AE21" s="43">
        <f t="shared" si="3"/>
        <v>0</v>
      </c>
      <c r="AF21" s="42" t="e">
        <f>$Z21*
(VLOOKUP(AC21,IntAWS[],HLOOKUP("Intercept",IntAWS[],2,FALSE),FALSE))*
($N21^VLOOKUP(AC21,IntAWS[],HLOOKUP("Minor AADT",IntAWS[],2,FALSE),FALSE))*
($M21^VLOOKUP(AC21,IntAWS[],HLOOKUP("Major AADT",IntAWS[],2,FALSE),FALSE))</f>
        <v>#N/A</v>
      </c>
      <c r="AG21" s="42" t="e">
        <f>((1/(1+VLOOKUP(AC21,IntAWS[],HLOOKUP("Dispersion Parameter",IntAWS[],2,FALSE),FALSE)*AF21))*AF21
+(1-1/(1+VLOOKUP(AC21,IntAWS[],HLOOKUP("Dispersion Parameter",IntAWS[],2,FALSE),FALSE)*AF21))*AE21)</f>
        <v>#N/A</v>
      </c>
      <c r="AH21" s="43">
        <f t="shared" si="4"/>
        <v>0</v>
      </c>
      <c r="AI21" s="42" t="str">
        <f t="shared" si="5"/>
        <v>Data Error</v>
      </c>
      <c r="AJ21" s="42" t="e">
        <f>((1/(1+VLOOKUP(AC21,IntAWS[],HLOOKUP("Dispersion Parameter",IntAWS[],2,FALSE),FALSE)*AI21))*AI21
+(1-1/(1+VLOOKUP(AC21,IntAWS[],HLOOKUP("Dispersion Parameter",IntAWS[],2,FALSE),FALSE)*AI21))*AH21)</f>
        <v>#N/A</v>
      </c>
      <c r="AK21" s="60">
        <f t="shared" si="6"/>
        <v>0</v>
      </c>
      <c r="AL21" s="60" t="str">
        <f t="shared" si="19"/>
        <v>Missing Data</v>
      </c>
      <c r="AM21" s="42" t="str">
        <f t="shared" si="20"/>
        <v>Missing Data</v>
      </c>
      <c r="AN21" s="60" t="str">
        <f t="shared" si="21"/>
        <v>Missing Data</v>
      </c>
      <c r="AO21" s="42" t="str">
        <f t="shared" si="22"/>
        <v>Missing Data</v>
      </c>
      <c r="AP21" s="43">
        <f t="shared" si="11"/>
        <v>0</v>
      </c>
      <c r="AQ21" s="43">
        <f t="shared" si="12"/>
        <v>0</v>
      </c>
      <c r="AR21" s="60" t="str">
        <f t="shared" si="18"/>
        <v>Missing Data</v>
      </c>
      <c r="AS21" s="106"/>
      <c r="AT21" s="106"/>
      <c r="AU21" s="42" t="e">
        <f>VLOOKUP(AC21,IntAWS[],HLOOKUP("Dispersion Parameter",IntAWS[],2,FALSE),FALSE)</f>
        <v>#N/A</v>
      </c>
      <c r="AV21" s="42" t="e">
        <f>VLOOKUP($AC21,IntAWS[],HLOOKUP("Dispersion Parameter",IntAWS[],2,FALSE),FALSE)</f>
        <v>#N/A</v>
      </c>
      <c r="AW21" s="42" t="e">
        <f t="shared" si="23"/>
        <v>#N/A</v>
      </c>
      <c r="AX21" s="42" t="e">
        <f t="shared" si="24"/>
        <v>#N/A</v>
      </c>
      <c r="AY21" s="42" t="e">
        <f t="shared" si="25"/>
        <v>#N/A</v>
      </c>
      <c r="AZ21" s="42" t="e">
        <f t="shared" si="26"/>
        <v>#VALUE!</v>
      </c>
    </row>
    <row r="22" spans="1:52" x14ac:dyDescent="0.3">
      <c r="A22" s="109"/>
      <c r="B22" s="60"/>
      <c r="C22" s="60"/>
      <c r="D22" s="101"/>
      <c r="E22" s="60"/>
      <c r="F22" s="60"/>
      <c r="G22" s="43"/>
      <c r="H22" s="109"/>
      <c r="I22" s="109"/>
      <c r="J22" s="60"/>
      <c r="K22" s="60"/>
      <c r="L22" s="60"/>
      <c r="M22" s="60"/>
      <c r="N22" s="60"/>
      <c r="O22" s="60"/>
      <c r="P22" s="60"/>
      <c r="Q22" s="43"/>
      <c r="R22" s="43"/>
      <c r="S22" s="43"/>
      <c r="T22" s="43"/>
      <c r="U22" s="43"/>
      <c r="V22" s="43"/>
      <c r="W22" s="43"/>
      <c r="X22" s="43"/>
      <c r="Y22" s="60" t="str">
        <f t="shared" si="0"/>
        <v/>
      </c>
      <c r="Z22" s="43">
        <f t="shared" si="15"/>
        <v>5</v>
      </c>
      <c r="AA22" s="60" t="str">
        <f t="shared" si="1"/>
        <v>Other</v>
      </c>
      <c r="AB22" s="91" t="e">
        <f>VLOOKUP(AC22,IntAWS[],HLOOKUP("AWS Name",IntAWS[],2,FALSE),FALSE)</f>
        <v>#N/A</v>
      </c>
      <c r="AC22" s="87" t="str">
        <f t="shared" si="2"/>
        <v>Data Error: Check AADTs</v>
      </c>
      <c r="AD22" s="108" t="str">
        <f>IFERROR(VLOOKUP($AC22,IntAWS[],HLOOKUP("KABC Scaler",IntAWS[],2,FALSE),FALSE),"Data Error")</f>
        <v>Data Error</v>
      </c>
      <c r="AE22" s="43">
        <f t="shared" si="3"/>
        <v>0</v>
      </c>
      <c r="AF22" s="42" t="e">
        <f>$Z22*
(VLOOKUP(AC22,IntAWS[],HLOOKUP("Intercept",IntAWS[],2,FALSE),FALSE))*
($N22^VLOOKUP(AC22,IntAWS[],HLOOKUP("Minor AADT",IntAWS[],2,FALSE),FALSE))*
($M22^VLOOKUP(AC22,IntAWS[],HLOOKUP("Major AADT",IntAWS[],2,FALSE),FALSE))</f>
        <v>#N/A</v>
      </c>
      <c r="AG22" s="42" t="e">
        <f>((1/(1+VLOOKUP(AC22,IntAWS[],HLOOKUP("Dispersion Parameter",IntAWS[],2,FALSE),FALSE)*AF22))*AF22
+(1-1/(1+VLOOKUP(AC22,IntAWS[],HLOOKUP("Dispersion Parameter",IntAWS[],2,FALSE),FALSE)*AF22))*AE22)</f>
        <v>#N/A</v>
      </c>
      <c r="AH22" s="43">
        <f t="shared" si="4"/>
        <v>0</v>
      </c>
      <c r="AI22" s="42" t="str">
        <f t="shared" si="5"/>
        <v>Data Error</v>
      </c>
      <c r="AJ22" s="42" t="e">
        <f>((1/(1+VLOOKUP(AC22,IntAWS[],HLOOKUP("Dispersion Parameter",IntAWS[],2,FALSE),FALSE)*AI22))*AI22
+(1-1/(1+VLOOKUP(AC22,IntAWS[],HLOOKUP("Dispersion Parameter",IntAWS[],2,FALSE),FALSE)*AI22))*AH22)</f>
        <v>#N/A</v>
      </c>
      <c r="AK22" s="60">
        <f t="shared" si="6"/>
        <v>0</v>
      </c>
      <c r="AL22" s="60" t="str">
        <f t="shared" si="19"/>
        <v>Missing Data</v>
      </c>
      <c r="AM22" s="42" t="str">
        <f t="shared" si="20"/>
        <v>Missing Data</v>
      </c>
      <c r="AN22" s="60" t="str">
        <f t="shared" si="21"/>
        <v>Missing Data</v>
      </c>
      <c r="AO22" s="42" t="str">
        <f t="shared" si="22"/>
        <v>Missing Data</v>
      </c>
      <c r="AP22" s="43">
        <f t="shared" si="11"/>
        <v>0</v>
      </c>
      <c r="AQ22" s="43">
        <f t="shared" si="12"/>
        <v>0</v>
      </c>
      <c r="AR22" s="60" t="str">
        <f t="shared" si="18"/>
        <v>Missing Data</v>
      </c>
      <c r="AS22" s="106"/>
      <c r="AT22" s="106"/>
      <c r="AU22" s="42" t="e">
        <f>VLOOKUP(AC22,IntAWS[],HLOOKUP("Dispersion Parameter",IntAWS[],2,FALSE),FALSE)</f>
        <v>#N/A</v>
      </c>
      <c r="AV22" s="42" t="e">
        <f>VLOOKUP($AC22,IntAWS[],HLOOKUP("Dispersion Parameter",IntAWS[],2,FALSE),FALSE)</f>
        <v>#N/A</v>
      </c>
      <c r="AW22" s="42" t="e">
        <f t="shared" si="23"/>
        <v>#N/A</v>
      </c>
      <c r="AX22" s="42" t="e">
        <f t="shared" si="24"/>
        <v>#N/A</v>
      </c>
      <c r="AY22" s="42" t="e">
        <f t="shared" si="25"/>
        <v>#N/A</v>
      </c>
      <c r="AZ22" s="42" t="e">
        <f t="shared" si="26"/>
        <v>#VALUE!</v>
      </c>
    </row>
    <row r="23" spans="1:52" x14ac:dyDescent="0.3">
      <c r="A23" s="109"/>
      <c r="B23" s="60"/>
      <c r="C23" s="60"/>
      <c r="D23" s="101"/>
      <c r="E23" s="60"/>
      <c r="F23" s="60"/>
      <c r="G23" s="43"/>
      <c r="H23" s="109"/>
      <c r="I23" s="109"/>
      <c r="J23" s="60"/>
      <c r="K23" s="60"/>
      <c r="L23" s="60"/>
      <c r="M23" s="60"/>
      <c r="N23" s="60"/>
      <c r="O23" s="60"/>
      <c r="P23" s="60"/>
      <c r="Q23" s="43"/>
      <c r="R23" s="43"/>
      <c r="S23" s="43"/>
      <c r="T23" s="43"/>
      <c r="U23" s="43"/>
      <c r="V23" s="43"/>
      <c r="W23" s="43"/>
      <c r="X23" s="43"/>
      <c r="Y23" s="60" t="str">
        <f t="shared" si="0"/>
        <v/>
      </c>
      <c r="Z23" s="43">
        <f t="shared" si="15"/>
        <v>5</v>
      </c>
      <c r="AA23" s="60" t="str">
        <f t="shared" si="1"/>
        <v>Other</v>
      </c>
      <c r="AB23" s="91" t="e">
        <f>VLOOKUP(AC23,IntAWS[],HLOOKUP("AWS Name",IntAWS[],2,FALSE),FALSE)</f>
        <v>#N/A</v>
      </c>
      <c r="AC23" s="87" t="str">
        <f t="shared" si="2"/>
        <v>Data Error: Check AADTs</v>
      </c>
      <c r="AD23" s="108" t="str">
        <f>IFERROR(VLOOKUP($AC23,IntAWS[],HLOOKUP("KABC Scaler",IntAWS[],2,FALSE),FALSE),"Data Error")</f>
        <v>Data Error</v>
      </c>
      <c r="AE23" s="43">
        <f t="shared" si="3"/>
        <v>0</v>
      </c>
      <c r="AF23" s="42" t="e">
        <f>$Z23*
(VLOOKUP(AC23,IntAWS[],HLOOKUP("Intercept",IntAWS[],2,FALSE),FALSE))*
($N23^VLOOKUP(AC23,IntAWS[],HLOOKUP("Minor AADT",IntAWS[],2,FALSE),FALSE))*
($M23^VLOOKUP(AC23,IntAWS[],HLOOKUP("Major AADT",IntAWS[],2,FALSE),FALSE))</f>
        <v>#N/A</v>
      </c>
      <c r="AG23" s="42" t="e">
        <f>((1/(1+VLOOKUP(AC23,IntAWS[],HLOOKUP("Dispersion Parameter",IntAWS[],2,FALSE),FALSE)*AF23))*AF23
+(1-1/(1+VLOOKUP(AC23,IntAWS[],HLOOKUP("Dispersion Parameter",IntAWS[],2,FALSE),FALSE)*AF23))*AE23)</f>
        <v>#N/A</v>
      </c>
      <c r="AH23" s="43">
        <f t="shared" si="4"/>
        <v>0</v>
      </c>
      <c r="AI23" s="42" t="str">
        <f t="shared" si="5"/>
        <v>Data Error</v>
      </c>
      <c r="AJ23" s="42" t="e">
        <f>((1/(1+VLOOKUP(AC23,IntAWS[],HLOOKUP("Dispersion Parameter",IntAWS[],2,FALSE),FALSE)*AI23))*AI23
+(1-1/(1+VLOOKUP(AC23,IntAWS[],HLOOKUP("Dispersion Parameter",IntAWS[],2,FALSE),FALSE)*AI23))*AH23)</f>
        <v>#N/A</v>
      </c>
      <c r="AK23" s="60">
        <f t="shared" si="6"/>
        <v>0</v>
      </c>
      <c r="AL23" s="60" t="str">
        <f t="shared" si="19"/>
        <v>Missing Data</v>
      </c>
      <c r="AM23" s="42" t="str">
        <f t="shared" si="20"/>
        <v>Missing Data</v>
      </c>
      <c r="AN23" s="60" t="str">
        <f t="shared" si="21"/>
        <v>Missing Data</v>
      </c>
      <c r="AO23" s="42" t="str">
        <f t="shared" si="22"/>
        <v>Missing Data</v>
      </c>
      <c r="AP23" s="43">
        <f t="shared" si="11"/>
        <v>0</v>
      </c>
      <c r="AQ23" s="43">
        <f t="shared" si="12"/>
        <v>0</v>
      </c>
      <c r="AR23" s="60" t="str">
        <f t="shared" si="18"/>
        <v>Missing Data</v>
      </c>
      <c r="AS23" s="106"/>
      <c r="AT23" s="106"/>
      <c r="AU23" s="42" t="e">
        <f>VLOOKUP(AC23,IntAWS[],HLOOKUP("Dispersion Parameter",IntAWS[],2,FALSE),FALSE)</f>
        <v>#N/A</v>
      </c>
      <c r="AV23" s="42" t="e">
        <f>VLOOKUP($AC23,IntAWS[],HLOOKUP("Dispersion Parameter",IntAWS[],2,FALSE),FALSE)</f>
        <v>#N/A</v>
      </c>
      <c r="AW23" s="42" t="e">
        <f t="shared" si="23"/>
        <v>#N/A</v>
      </c>
      <c r="AX23" s="42" t="e">
        <f t="shared" si="24"/>
        <v>#N/A</v>
      </c>
      <c r="AY23" s="42" t="e">
        <f t="shared" si="25"/>
        <v>#N/A</v>
      </c>
      <c r="AZ23" s="42" t="e">
        <f t="shared" si="26"/>
        <v>#VALUE!</v>
      </c>
    </row>
    <row r="24" spans="1:52" x14ac:dyDescent="0.3">
      <c r="A24" s="109"/>
      <c r="B24" s="60"/>
      <c r="C24" s="60"/>
      <c r="D24" s="101"/>
      <c r="E24" s="60"/>
      <c r="F24" s="60"/>
      <c r="G24" s="43"/>
      <c r="H24" s="109"/>
      <c r="I24" s="109"/>
      <c r="J24" s="60"/>
      <c r="K24" s="60"/>
      <c r="L24" s="60"/>
      <c r="M24" s="60"/>
      <c r="N24" s="60"/>
      <c r="O24" s="60"/>
      <c r="P24" s="60"/>
      <c r="Q24" s="43"/>
      <c r="R24" s="43"/>
      <c r="S24" s="43"/>
      <c r="T24" s="43"/>
      <c r="U24" s="43"/>
      <c r="V24" s="43"/>
      <c r="W24" s="43"/>
      <c r="X24" s="43"/>
      <c r="Y24" s="60" t="str">
        <f t="shared" ref="Y24:Y29" si="43">SUBSTITUTE(SUBSTITUTE(SUBSTITUTE(P24,CHAR(34),""),"[", ""),"]", "")</f>
        <v/>
      </c>
      <c r="Z24" s="43">
        <f t="shared" ref="Z24:Z29" si="44">$Z$4</f>
        <v>5</v>
      </c>
      <c r="AA24" s="60" t="str">
        <f t="shared" si="1"/>
        <v>Other</v>
      </c>
      <c r="AB24" s="91" t="e">
        <f>VLOOKUP(AC24,IntAWS[],HLOOKUP("AWS Name",IntAWS[],2,FALSE),FALSE)</f>
        <v>#N/A</v>
      </c>
      <c r="AC24" s="87" t="str">
        <f t="shared" si="2"/>
        <v>Data Error: Check AADTs</v>
      </c>
      <c r="AD24" s="108" t="str">
        <f>IFERROR(VLOOKUP($AC24,IntAWS[],HLOOKUP("KABC Scaler",IntAWS[],2,FALSE),FALSE),"Data Error")</f>
        <v>Data Error</v>
      </c>
      <c r="AE24" s="43">
        <f t="shared" ref="AE24:AE29" si="45">SUM(S24:X24)</f>
        <v>0</v>
      </c>
      <c r="AF24" s="42" t="e">
        <f>$Z24*
(VLOOKUP(AC24,IntAWS[],HLOOKUP("Intercept",IntAWS[],2,FALSE),FALSE))*
($N24^VLOOKUP(AC24,IntAWS[],HLOOKUP("Minor AADT",IntAWS[],2,FALSE),FALSE))*
($M24^VLOOKUP(AC24,IntAWS[],HLOOKUP("Major AADT",IntAWS[],2,FALSE),FALSE))</f>
        <v>#N/A</v>
      </c>
      <c r="AG24" s="42" t="e">
        <f>((1/(1+VLOOKUP(AC24,IntAWS[],HLOOKUP("Dispersion Parameter",IntAWS[],2,FALSE),FALSE)*AF24))*AF24
+(1-1/(1+VLOOKUP(AC24,IntAWS[],HLOOKUP("Dispersion Parameter",IntAWS[],2,FALSE),FALSE)*AF24))*AE24)</f>
        <v>#N/A</v>
      </c>
      <c r="AH24" s="43">
        <f t="shared" ref="AH24:AH29" si="46">SUM(S24:V24)</f>
        <v>0</v>
      </c>
      <c r="AI24" s="42" t="str">
        <f t="shared" ref="AI24:AI29" si="47">IFERROR($AD24*$AF24,"Data Error")</f>
        <v>Data Error</v>
      </c>
      <c r="AJ24" s="42" t="e">
        <f>((1/(1+VLOOKUP(AC24,IntAWS[],HLOOKUP("Dispersion Parameter",IntAWS[],2,FALSE),FALSE)*AI24))*AI24
+(1-1/(1+VLOOKUP(AC24,IntAWS[],HLOOKUP("Dispersion Parameter",IntAWS[],2,FALSE),FALSE)*AI24))*AH24)</f>
        <v>#N/A</v>
      </c>
      <c r="AK24" s="60">
        <f t="shared" ref="AK24:AK29" si="48">A24</f>
        <v>0</v>
      </c>
      <c r="AL24" s="60" t="str">
        <f t="shared" ref="AL24:AL29" si="49">IFERROR(IF(AG24&lt;_xlfn.GAMMA.INV($AW$4,AW24,AX24),"LOSS 1",
IF(AG24&lt;AF24,"LOSS 2",
IF(AG24&lt;_xlfn.GAMMA.INV($AY$4,AW24,AX24),"LOSS 3",
IF(AG24&gt;=_xlfn.GAMMA.INV($AY$4,AW24,AX24),"LOSS 4","Error")))),"Missing Data")</f>
        <v>Missing Data</v>
      </c>
      <c r="AM24" s="42" t="str">
        <f t="shared" ref="AM24:AM29" si="50">IFERROR(AG24-AF24,"Missing Data")</f>
        <v>Missing Data</v>
      </c>
      <c r="AN24" s="60" t="str">
        <f t="shared" ref="AN24:AN29" si="51">IFERROR(IF(AJ24&lt;_xlfn.GAMMA.INV($AX$4,AY24,AZ24),"LOSS 1",
IF(AJ24&lt;AI24,"LOSS 2",
IF(AJ24&lt;_xlfn.GAMMA.INV($AZ$4,AY24,AZ24),"LOSS 3",
IF(AJ24&gt;=_xlfn.GAMMA.INV($AZ$4,AY24,AZ24),"LOSS 4","Error")))),"Missing Data")</f>
        <v>Missing Data</v>
      </c>
      <c r="AO24" s="42" t="str">
        <f t="shared" ref="AO24:AO29" si="52">IFERROR(AJ24-AI24,"Missing Data")</f>
        <v>Missing Data</v>
      </c>
      <c r="AP24" s="43">
        <f t="shared" ref="AP24:AP29" si="53">Q24</f>
        <v>0</v>
      </c>
      <c r="AQ24" s="43">
        <f t="shared" ref="AQ24:AQ29" si="54">R24</f>
        <v>0</v>
      </c>
      <c r="AR24" s="60" t="str">
        <f t="shared" si="18"/>
        <v>Missing Data</v>
      </c>
      <c r="AS24" s="106"/>
      <c r="AT24" s="106"/>
      <c r="AU24" s="42" t="e">
        <f>VLOOKUP(AC24,IntAWS[],HLOOKUP("Dispersion Parameter",IntAWS[],2,FALSE),FALSE)</f>
        <v>#N/A</v>
      </c>
      <c r="AV24" s="42" t="e">
        <f>VLOOKUP($AC24,IntAWS[],HLOOKUP("Dispersion Parameter",IntAWS[],2,FALSE),FALSE)</f>
        <v>#N/A</v>
      </c>
      <c r="AW24" s="42" t="e">
        <f t="shared" ref="AW24:AW29" si="55">1/AU24</f>
        <v>#N/A</v>
      </c>
      <c r="AX24" s="42" t="e">
        <f t="shared" ref="AX24:AX29" si="56">AF24/AW24</f>
        <v>#N/A</v>
      </c>
      <c r="AY24" s="42" t="e">
        <f t="shared" ref="AY24:AY29" si="57">1/AV24</f>
        <v>#N/A</v>
      </c>
      <c r="AZ24" s="42" t="e">
        <f t="shared" ref="AZ24:AZ29" si="58">AI24/AY24</f>
        <v>#VALUE!</v>
      </c>
    </row>
    <row r="25" spans="1:52" x14ac:dyDescent="0.3">
      <c r="A25" s="109"/>
      <c r="B25" s="60"/>
      <c r="C25" s="60"/>
      <c r="D25" s="101"/>
      <c r="E25" s="60"/>
      <c r="F25" s="60"/>
      <c r="G25" s="43"/>
      <c r="H25" s="109"/>
      <c r="I25" s="109"/>
      <c r="J25" s="60"/>
      <c r="K25" s="60"/>
      <c r="L25" s="60"/>
      <c r="M25" s="60"/>
      <c r="N25" s="60"/>
      <c r="O25" s="60"/>
      <c r="P25" s="60"/>
      <c r="Q25" s="43"/>
      <c r="R25" s="43"/>
      <c r="S25" s="43"/>
      <c r="T25" s="43"/>
      <c r="U25" s="43"/>
      <c r="V25" s="43"/>
      <c r="W25" s="43"/>
      <c r="X25" s="43"/>
      <c r="Y25" s="60" t="str">
        <f t="shared" si="43"/>
        <v/>
      </c>
      <c r="Z25" s="43">
        <f t="shared" si="44"/>
        <v>5</v>
      </c>
      <c r="AA25" s="60" t="str">
        <f t="shared" si="1"/>
        <v>Other</v>
      </c>
      <c r="AB25" s="91" t="e">
        <f>VLOOKUP(AC25,IntAWS[],HLOOKUP("AWS Name",IntAWS[],2,FALSE),FALSE)</f>
        <v>#N/A</v>
      </c>
      <c r="AC25" s="87" t="str">
        <f t="shared" si="2"/>
        <v>Data Error: Check AADTs</v>
      </c>
      <c r="AD25" s="108" t="str">
        <f>IFERROR(VLOOKUP($AC25,IntAWS[],HLOOKUP("KABC Scaler",IntAWS[],2,FALSE),FALSE),"Data Error")</f>
        <v>Data Error</v>
      </c>
      <c r="AE25" s="43">
        <f t="shared" si="45"/>
        <v>0</v>
      </c>
      <c r="AF25" s="42" t="e">
        <f>$Z25*
(VLOOKUP(AC25,IntAWS[],HLOOKUP("Intercept",IntAWS[],2,FALSE),FALSE))*
($N25^VLOOKUP(AC25,IntAWS[],HLOOKUP("Minor AADT",IntAWS[],2,FALSE),FALSE))*
($M25^VLOOKUP(AC25,IntAWS[],HLOOKUP("Major AADT",IntAWS[],2,FALSE),FALSE))</f>
        <v>#N/A</v>
      </c>
      <c r="AG25" s="42" t="e">
        <f>((1/(1+VLOOKUP(AC25,IntAWS[],HLOOKUP("Dispersion Parameter",IntAWS[],2,FALSE),FALSE)*AF25))*AF25
+(1-1/(1+VLOOKUP(AC25,IntAWS[],HLOOKUP("Dispersion Parameter",IntAWS[],2,FALSE),FALSE)*AF25))*AE25)</f>
        <v>#N/A</v>
      </c>
      <c r="AH25" s="43">
        <f t="shared" si="46"/>
        <v>0</v>
      </c>
      <c r="AI25" s="42" t="str">
        <f t="shared" si="47"/>
        <v>Data Error</v>
      </c>
      <c r="AJ25" s="42" t="e">
        <f>((1/(1+VLOOKUP(AC25,IntAWS[],HLOOKUP("Dispersion Parameter",IntAWS[],2,FALSE),FALSE)*AI25))*AI25
+(1-1/(1+VLOOKUP(AC25,IntAWS[],HLOOKUP("Dispersion Parameter",IntAWS[],2,FALSE),FALSE)*AI25))*AH25)</f>
        <v>#N/A</v>
      </c>
      <c r="AK25" s="60">
        <f t="shared" si="48"/>
        <v>0</v>
      </c>
      <c r="AL25" s="60" t="str">
        <f t="shared" si="49"/>
        <v>Missing Data</v>
      </c>
      <c r="AM25" s="42" t="str">
        <f t="shared" si="50"/>
        <v>Missing Data</v>
      </c>
      <c r="AN25" s="60" t="str">
        <f t="shared" si="51"/>
        <v>Missing Data</v>
      </c>
      <c r="AO25" s="42" t="str">
        <f t="shared" si="52"/>
        <v>Missing Data</v>
      </c>
      <c r="AP25" s="43">
        <f t="shared" si="53"/>
        <v>0</v>
      </c>
      <c r="AQ25" s="43">
        <f t="shared" si="54"/>
        <v>0</v>
      </c>
      <c r="AR25" s="60" t="str">
        <f t="shared" si="18"/>
        <v>Missing Data</v>
      </c>
      <c r="AS25" s="106"/>
      <c r="AT25" s="106"/>
      <c r="AU25" s="42" t="e">
        <f>VLOOKUP(AC25,IntAWS[],HLOOKUP("Dispersion Parameter",IntAWS[],2,FALSE),FALSE)</f>
        <v>#N/A</v>
      </c>
      <c r="AV25" s="42" t="e">
        <f>VLOOKUP($AC25,IntAWS[],HLOOKUP("Dispersion Parameter",IntAWS[],2,FALSE),FALSE)</f>
        <v>#N/A</v>
      </c>
      <c r="AW25" s="42" t="e">
        <f t="shared" si="55"/>
        <v>#N/A</v>
      </c>
      <c r="AX25" s="42" t="e">
        <f t="shared" si="56"/>
        <v>#N/A</v>
      </c>
      <c r="AY25" s="42" t="e">
        <f t="shared" si="57"/>
        <v>#N/A</v>
      </c>
      <c r="AZ25" s="42" t="e">
        <f t="shared" si="58"/>
        <v>#VALUE!</v>
      </c>
    </row>
    <row r="26" spans="1:52" x14ac:dyDescent="0.3">
      <c r="A26" s="109"/>
      <c r="B26" s="60"/>
      <c r="C26" s="60"/>
      <c r="D26" s="101"/>
      <c r="E26" s="60"/>
      <c r="F26" s="60"/>
      <c r="G26" s="43"/>
      <c r="H26" s="109"/>
      <c r="I26" s="109"/>
      <c r="J26" s="60"/>
      <c r="K26" s="60"/>
      <c r="L26" s="60"/>
      <c r="M26" s="60"/>
      <c r="N26" s="60"/>
      <c r="O26" s="60"/>
      <c r="P26" s="60"/>
      <c r="Q26" s="43"/>
      <c r="R26" s="43"/>
      <c r="S26" s="43"/>
      <c r="T26" s="43"/>
      <c r="U26" s="43"/>
      <c r="V26" s="43"/>
      <c r="W26" s="43"/>
      <c r="X26" s="43"/>
      <c r="Y26" s="60" t="str">
        <f t="shared" si="43"/>
        <v/>
      </c>
      <c r="Z26" s="43">
        <f t="shared" si="44"/>
        <v>5</v>
      </c>
      <c r="AA26" s="60" t="str">
        <f t="shared" si="1"/>
        <v>Other</v>
      </c>
      <c r="AB26" s="91" t="e">
        <f>VLOOKUP(AC26,IntAWS[],HLOOKUP("AWS Name",IntAWS[],2,FALSE),FALSE)</f>
        <v>#N/A</v>
      </c>
      <c r="AC26" s="87" t="str">
        <f t="shared" si="2"/>
        <v>Data Error: Check AADTs</v>
      </c>
      <c r="AD26" s="108" t="str">
        <f>IFERROR(VLOOKUP($AC26,IntAWS[],HLOOKUP("KABC Scaler",IntAWS[],2,FALSE),FALSE),"Data Error")</f>
        <v>Data Error</v>
      </c>
      <c r="AE26" s="43">
        <f t="shared" si="45"/>
        <v>0</v>
      </c>
      <c r="AF26" s="42" t="e">
        <f>$Z26*
(VLOOKUP(AC26,IntAWS[],HLOOKUP("Intercept",IntAWS[],2,FALSE),FALSE))*
($N26^VLOOKUP(AC26,IntAWS[],HLOOKUP("Minor AADT",IntAWS[],2,FALSE),FALSE))*
($M26^VLOOKUP(AC26,IntAWS[],HLOOKUP("Major AADT",IntAWS[],2,FALSE),FALSE))</f>
        <v>#N/A</v>
      </c>
      <c r="AG26" s="42" t="e">
        <f>((1/(1+VLOOKUP(AC26,IntAWS[],HLOOKUP("Dispersion Parameter",IntAWS[],2,FALSE),FALSE)*AF26))*AF26
+(1-1/(1+VLOOKUP(AC26,IntAWS[],HLOOKUP("Dispersion Parameter",IntAWS[],2,FALSE),FALSE)*AF26))*AE26)</f>
        <v>#N/A</v>
      </c>
      <c r="AH26" s="43">
        <f t="shared" si="46"/>
        <v>0</v>
      </c>
      <c r="AI26" s="42" t="str">
        <f t="shared" si="47"/>
        <v>Data Error</v>
      </c>
      <c r="AJ26" s="42" t="e">
        <f>((1/(1+VLOOKUP(AC26,IntAWS[],HLOOKUP("Dispersion Parameter",IntAWS[],2,FALSE),FALSE)*AI26))*AI26
+(1-1/(1+VLOOKUP(AC26,IntAWS[],HLOOKUP("Dispersion Parameter",IntAWS[],2,FALSE),FALSE)*AI26))*AH26)</f>
        <v>#N/A</v>
      </c>
      <c r="AK26" s="60">
        <f t="shared" si="48"/>
        <v>0</v>
      </c>
      <c r="AL26" s="60" t="str">
        <f t="shared" si="49"/>
        <v>Missing Data</v>
      </c>
      <c r="AM26" s="42" t="str">
        <f t="shared" si="50"/>
        <v>Missing Data</v>
      </c>
      <c r="AN26" s="60" t="str">
        <f t="shared" si="51"/>
        <v>Missing Data</v>
      </c>
      <c r="AO26" s="42" t="str">
        <f t="shared" si="52"/>
        <v>Missing Data</v>
      </c>
      <c r="AP26" s="43">
        <f t="shared" si="53"/>
        <v>0</v>
      </c>
      <c r="AQ26" s="43">
        <f t="shared" si="54"/>
        <v>0</v>
      </c>
      <c r="AR26" s="60" t="str">
        <f t="shared" si="18"/>
        <v>Missing Data</v>
      </c>
      <c r="AS26" s="106"/>
      <c r="AT26" s="106"/>
      <c r="AU26" s="42" t="e">
        <f>VLOOKUP(AC26,IntAWS[],HLOOKUP("Dispersion Parameter",IntAWS[],2,FALSE),FALSE)</f>
        <v>#N/A</v>
      </c>
      <c r="AV26" s="42" t="e">
        <f>VLOOKUP($AC26,IntAWS[],HLOOKUP("Dispersion Parameter",IntAWS[],2,FALSE),FALSE)</f>
        <v>#N/A</v>
      </c>
      <c r="AW26" s="42" t="e">
        <f t="shared" si="55"/>
        <v>#N/A</v>
      </c>
      <c r="AX26" s="42" t="e">
        <f t="shared" si="56"/>
        <v>#N/A</v>
      </c>
      <c r="AY26" s="42" t="e">
        <f t="shared" si="57"/>
        <v>#N/A</v>
      </c>
      <c r="AZ26" s="42" t="e">
        <f t="shared" si="58"/>
        <v>#VALUE!</v>
      </c>
    </row>
    <row r="27" spans="1:52" x14ac:dyDescent="0.3">
      <c r="A27" s="109"/>
      <c r="B27" s="60"/>
      <c r="C27" s="60"/>
      <c r="D27" s="101"/>
      <c r="E27" s="60"/>
      <c r="F27" s="60"/>
      <c r="G27" s="43"/>
      <c r="H27" s="109"/>
      <c r="I27" s="109"/>
      <c r="J27" s="60"/>
      <c r="K27" s="60"/>
      <c r="L27" s="60"/>
      <c r="M27" s="60"/>
      <c r="N27" s="60"/>
      <c r="O27" s="60"/>
      <c r="P27" s="60"/>
      <c r="Q27" s="43"/>
      <c r="R27" s="43"/>
      <c r="S27" s="43"/>
      <c r="T27" s="43"/>
      <c r="U27" s="43"/>
      <c r="V27" s="43"/>
      <c r="W27" s="43"/>
      <c r="X27" s="43"/>
      <c r="Y27" s="60" t="str">
        <f t="shared" si="43"/>
        <v/>
      </c>
      <c r="Z27" s="43">
        <f t="shared" si="44"/>
        <v>5</v>
      </c>
      <c r="AA27" s="60" t="str">
        <f t="shared" si="1"/>
        <v>Other</v>
      </c>
      <c r="AB27" s="91" t="e">
        <f>VLOOKUP(AC27,IntAWS[],HLOOKUP("AWS Name",IntAWS[],2,FALSE),FALSE)</f>
        <v>#N/A</v>
      </c>
      <c r="AC27" s="87" t="str">
        <f t="shared" si="2"/>
        <v>Data Error: Check AADTs</v>
      </c>
      <c r="AD27" s="108" t="str">
        <f>IFERROR(VLOOKUP($AC27,IntAWS[],HLOOKUP("KABC Scaler",IntAWS[],2,FALSE),FALSE),"Data Error")</f>
        <v>Data Error</v>
      </c>
      <c r="AE27" s="43">
        <f t="shared" si="45"/>
        <v>0</v>
      </c>
      <c r="AF27" s="42" t="e">
        <f>$Z27*
(VLOOKUP(AC27,IntAWS[],HLOOKUP("Intercept",IntAWS[],2,FALSE),FALSE))*
($N27^VLOOKUP(AC27,IntAWS[],HLOOKUP("Minor AADT",IntAWS[],2,FALSE),FALSE))*
($M27^VLOOKUP(AC27,IntAWS[],HLOOKUP("Major AADT",IntAWS[],2,FALSE),FALSE))</f>
        <v>#N/A</v>
      </c>
      <c r="AG27" s="42" t="e">
        <f>((1/(1+VLOOKUP(AC27,IntAWS[],HLOOKUP("Dispersion Parameter",IntAWS[],2,FALSE),FALSE)*AF27))*AF27
+(1-1/(1+VLOOKUP(AC27,IntAWS[],HLOOKUP("Dispersion Parameter",IntAWS[],2,FALSE),FALSE)*AF27))*AE27)</f>
        <v>#N/A</v>
      </c>
      <c r="AH27" s="43">
        <f t="shared" si="46"/>
        <v>0</v>
      </c>
      <c r="AI27" s="42" t="str">
        <f t="shared" si="47"/>
        <v>Data Error</v>
      </c>
      <c r="AJ27" s="42" t="e">
        <f>((1/(1+VLOOKUP(AC27,IntAWS[],HLOOKUP("Dispersion Parameter",IntAWS[],2,FALSE),FALSE)*AI27))*AI27
+(1-1/(1+VLOOKUP(AC27,IntAWS[],HLOOKUP("Dispersion Parameter",IntAWS[],2,FALSE),FALSE)*AI27))*AH27)</f>
        <v>#N/A</v>
      </c>
      <c r="AK27" s="60">
        <f t="shared" si="48"/>
        <v>0</v>
      </c>
      <c r="AL27" s="60" t="str">
        <f t="shared" si="49"/>
        <v>Missing Data</v>
      </c>
      <c r="AM27" s="42" t="str">
        <f t="shared" si="50"/>
        <v>Missing Data</v>
      </c>
      <c r="AN27" s="60" t="str">
        <f t="shared" si="51"/>
        <v>Missing Data</v>
      </c>
      <c r="AO27" s="42" t="str">
        <f t="shared" si="52"/>
        <v>Missing Data</v>
      </c>
      <c r="AP27" s="43">
        <f t="shared" si="53"/>
        <v>0</v>
      </c>
      <c r="AQ27" s="43">
        <f t="shared" si="54"/>
        <v>0</v>
      </c>
      <c r="AR27" s="60" t="str">
        <f t="shared" si="18"/>
        <v>Missing Data</v>
      </c>
      <c r="AS27" s="106"/>
      <c r="AT27" s="106"/>
      <c r="AU27" s="42" t="e">
        <f>VLOOKUP(AC27,IntAWS[],HLOOKUP("Dispersion Parameter",IntAWS[],2,FALSE),FALSE)</f>
        <v>#N/A</v>
      </c>
      <c r="AV27" s="42" t="e">
        <f>VLOOKUP($AC27,IntAWS[],HLOOKUP("Dispersion Parameter",IntAWS[],2,FALSE),FALSE)</f>
        <v>#N/A</v>
      </c>
      <c r="AW27" s="42" t="e">
        <f t="shared" si="55"/>
        <v>#N/A</v>
      </c>
      <c r="AX27" s="42" t="e">
        <f t="shared" si="56"/>
        <v>#N/A</v>
      </c>
      <c r="AY27" s="42" t="e">
        <f t="shared" si="57"/>
        <v>#N/A</v>
      </c>
      <c r="AZ27" s="42" t="e">
        <f t="shared" si="58"/>
        <v>#VALUE!</v>
      </c>
    </row>
    <row r="28" spans="1:52" x14ac:dyDescent="0.3">
      <c r="A28" s="109"/>
      <c r="B28" s="60"/>
      <c r="C28" s="60"/>
      <c r="D28" s="101"/>
      <c r="E28" s="60"/>
      <c r="F28" s="60"/>
      <c r="G28" s="43"/>
      <c r="H28" s="109"/>
      <c r="I28" s="109"/>
      <c r="J28" s="60"/>
      <c r="K28" s="60"/>
      <c r="L28" s="60"/>
      <c r="M28" s="60"/>
      <c r="N28" s="60"/>
      <c r="O28" s="60"/>
      <c r="P28" s="60"/>
      <c r="Q28" s="43"/>
      <c r="R28" s="43"/>
      <c r="S28" s="43"/>
      <c r="T28" s="43"/>
      <c r="U28" s="43"/>
      <c r="V28" s="43"/>
      <c r="W28" s="43"/>
      <c r="X28" s="43"/>
      <c r="Y28" s="60" t="str">
        <f t="shared" si="43"/>
        <v/>
      </c>
      <c r="Z28" s="43">
        <f t="shared" si="44"/>
        <v>5</v>
      </c>
      <c r="AA28" s="60" t="str">
        <f t="shared" si="1"/>
        <v>Other</v>
      </c>
      <c r="AB28" s="91" t="e">
        <f>VLOOKUP(AC28,IntAWS[],HLOOKUP("AWS Name",IntAWS[],2,FALSE),FALSE)</f>
        <v>#N/A</v>
      </c>
      <c r="AC28" s="87" t="str">
        <f t="shared" si="2"/>
        <v>Data Error: Check AADTs</v>
      </c>
      <c r="AD28" s="108" t="str">
        <f>IFERROR(VLOOKUP($AC28,IntAWS[],HLOOKUP("KABC Scaler",IntAWS[],2,FALSE),FALSE),"Data Error")</f>
        <v>Data Error</v>
      </c>
      <c r="AE28" s="43">
        <f t="shared" si="45"/>
        <v>0</v>
      </c>
      <c r="AF28" s="42" t="e">
        <f>$Z28*
(VLOOKUP(AC28,IntAWS[],HLOOKUP("Intercept",IntAWS[],2,FALSE),FALSE))*
($N28^VLOOKUP(AC28,IntAWS[],HLOOKUP("Minor AADT",IntAWS[],2,FALSE),FALSE))*
($M28^VLOOKUP(AC28,IntAWS[],HLOOKUP("Major AADT",IntAWS[],2,FALSE),FALSE))</f>
        <v>#N/A</v>
      </c>
      <c r="AG28" s="42" t="e">
        <f>((1/(1+VLOOKUP(AC28,IntAWS[],HLOOKUP("Dispersion Parameter",IntAWS[],2,FALSE),FALSE)*AF28))*AF28
+(1-1/(1+VLOOKUP(AC28,IntAWS[],HLOOKUP("Dispersion Parameter",IntAWS[],2,FALSE),FALSE)*AF28))*AE28)</f>
        <v>#N/A</v>
      </c>
      <c r="AH28" s="43">
        <f t="shared" si="46"/>
        <v>0</v>
      </c>
      <c r="AI28" s="42" t="str">
        <f t="shared" si="47"/>
        <v>Data Error</v>
      </c>
      <c r="AJ28" s="42" t="e">
        <f>((1/(1+VLOOKUP(AC28,IntAWS[],HLOOKUP("Dispersion Parameter",IntAWS[],2,FALSE),FALSE)*AI28))*AI28
+(1-1/(1+VLOOKUP(AC28,IntAWS[],HLOOKUP("Dispersion Parameter",IntAWS[],2,FALSE),FALSE)*AI28))*AH28)</f>
        <v>#N/A</v>
      </c>
      <c r="AK28" s="60">
        <f t="shared" si="48"/>
        <v>0</v>
      </c>
      <c r="AL28" s="60" t="str">
        <f t="shared" si="49"/>
        <v>Missing Data</v>
      </c>
      <c r="AM28" s="42" t="str">
        <f t="shared" si="50"/>
        <v>Missing Data</v>
      </c>
      <c r="AN28" s="60" t="str">
        <f t="shared" si="51"/>
        <v>Missing Data</v>
      </c>
      <c r="AO28" s="42" t="str">
        <f t="shared" si="52"/>
        <v>Missing Data</v>
      </c>
      <c r="AP28" s="43">
        <f t="shared" si="53"/>
        <v>0</v>
      </c>
      <c r="AQ28" s="43">
        <f t="shared" si="54"/>
        <v>0</v>
      </c>
      <c r="AR28" s="60" t="str">
        <f t="shared" si="18"/>
        <v>Missing Data</v>
      </c>
      <c r="AS28" s="106"/>
      <c r="AT28" s="106"/>
      <c r="AU28" s="42" t="e">
        <f>VLOOKUP(AC28,IntAWS[],HLOOKUP("Dispersion Parameter",IntAWS[],2,FALSE),FALSE)</f>
        <v>#N/A</v>
      </c>
      <c r="AV28" s="42" t="e">
        <f>VLOOKUP($AC28,IntAWS[],HLOOKUP("Dispersion Parameter",IntAWS[],2,FALSE),FALSE)</f>
        <v>#N/A</v>
      </c>
      <c r="AW28" s="42" t="e">
        <f t="shared" si="55"/>
        <v>#N/A</v>
      </c>
      <c r="AX28" s="42" t="e">
        <f t="shared" si="56"/>
        <v>#N/A</v>
      </c>
      <c r="AY28" s="42" t="e">
        <f t="shared" si="57"/>
        <v>#N/A</v>
      </c>
      <c r="AZ28" s="42" t="e">
        <f t="shared" si="58"/>
        <v>#VALUE!</v>
      </c>
    </row>
    <row r="29" spans="1:52" x14ac:dyDescent="0.3">
      <c r="A29" s="109"/>
      <c r="B29" s="60"/>
      <c r="C29" s="60"/>
      <c r="D29" s="101"/>
      <c r="E29" s="60"/>
      <c r="F29" s="60"/>
      <c r="G29" s="43"/>
      <c r="H29" s="109"/>
      <c r="I29" s="109"/>
      <c r="J29" s="60"/>
      <c r="K29" s="60"/>
      <c r="L29" s="60"/>
      <c r="M29" s="60"/>
      <c r="N29" s="60"/>
      <c r="O29" s="60"/>
      <c r="P29" s="60"/>
      <c r="Q29" s="43"/>
      <c r="R29" s="43"/>
      <c r="S29" s="43"/>
      <c r="T29" s="43"/>
      <c r="U29" s="43"/>
      <c r="V29" s="43"/>
      <c r="W29" s="43"/>
      <c r="X29" s="43"/>
      <c r="Y29" s="60" t="str">
        <f t="shared" si="43"/>
        <v/>
      </c>
      <c r="Z29" s="43">
        <f t="shared" si="44"/>
        <v>5</v>
      </c>
      <c r="AA29" s="60" t="str">
        <f t="shared" si="1"/>
        <v>Other</v>
      </c>
      <c r="AB29" s="91" t="e">
        <f>VLOOKUP(AC29,IntAWS[],HLOOKUP("AWS Name",IntAWS[],2,FALSE),FALSE)</f>
        <v>#N/A</v>
      </c>
      <c r="AC29" s="87" t="str">
        <f t="shared" si="2"/>
        <v>Data Error: Check AADTs</v>
      </c>
      <c r="AD29" s="108" t="str">
        <f>IFERROR(VLOOKUP($AC29,IntAWS[],HLOOKUP("KABC Scaler",IntAWS[],2,FALSE),FALSE),"Data Error")</f>
        <v>Data Error</v>
      </c>
      <c r="AE29" s="43">
        <f t="shared" si="45"/>
        <v>0</v>
      </c>
      <c r="AF29" s="42" t="e">
        <f>$Z29*
(VLOOKUP(AC29,IntAWS[],HLOOKUP("Intercept",IntAWS[],2,FALSE),FALSE))*
($N29^VLOOKUP(AC29,IntAWS[],HLOOKUP("Minor AADT",IntAWS[],2,FALSE),FALSE))*
($M29^VLOOKUP(AC29,IntAWS[],HLOOKUP("Major AADT",IntAWS[],2,FALSE),FALSE))</f>
        <v>#N/A</v>
      </c>
      <c r="AG29" s="42" t="e">
        <f>((1/(1+VLOOKUP(AC29,IntAWS[],HLOOKUP("Dispersion Parameter",IntAWS[],2,FALSE),FALSE)*AF29))*AF29
+(1-1/(1+VLOOKUP(AC29,IntAWS[],HLOOKUP("Dispersion Parameter",IntAWS[],2,FALSE),FALSE)*AF29))*AE29)</f>
        <v>#N/A</v>
      </c>
      <c r="AH29" s="43">
        <f t="shared" si="46"/>
        <v>0</v>
      </c>
      <c r="AI29" s="42" t="str">
        <f t="shared" si="47"/>
        <v>Data Error</v>
      </c>
      <c r="AJ29" s="42" t="e">
        <f>((1/(1+VLOOKUP(AC29,IntAWS[],HLOOKUP("Dispersion Parameter",IntAWS[],2,FALSE),FALSE)*AI29))*AI29
+(1-1/(1+VLOOKUP(AC29,IntAWS[],HLOOKUP("Dispersion Parameter",IntAWS[],2,FALSE),FALSE)*AI29))*AH29)</f>
        <v>#N/A</v>
      </c>
      <c r="AK29" s="60">
        <f t="shared" si="48"/>
        <v>0</v>
      </c>
      <c r="AL29" s="60" t="str">
        <f t="shared" si="49"/>
        <v>Missing Data</v>
      </c>
      <c r="AM29" s="42" t="str">
        <f t="shared" si="50"/>
        <v>Missing Data</v>
      </c>
      <c r="AN29" s="60" t="str">
        <f t="shared" si="51"/>
        <v>Missing Data</v>
      </c>
      <c r="AO29" s="42" t="str">
        <f t="shared" si="52"/>
        <v>Missing Data</v>
      </c>
      <c r="AP29" s="43">
        <f t="shared" si="53"/>
        <v>0</v>
      </c>
      <c r="AQ29" s="43">
        <f t="shared" si="54"/>
        <v>0</v>
      </c>
      <c r="AR29" s="60" t="str">
        <f t="shared" si="18"/>
        <v>Missing Data</v>
      </c>
      <c r="AS29" s="106"/>
      <c r="AT29" s="106"/>
      <c r="AU29" s="42" t="e">
        <f>VLOOKUP(AC29,IntAWS[],HLOOKUP("Dispersion Parameter",IntAWS[],2,FALSE),FALSE)</f>
        <v>#N/A</v>
      </c>
      <c r="AV29" s="42" t="e">
        <f>VLOOKUP($AC29,IntAWS[],HLOOKUP("Dispersion Parameter",IntAWS[],2,FALSE),FALSE)</f>
        <v>#N/A</v>
      </c>
      <c r="AW29" s="42" t="e">
        <f t="shared" si="55"/>
        <v>#N/A</v>
      </c>
      <c r="AX29" s="42" t="e">
        <f t="shared" si="56"/>
        <v>#N/A</v>
      </c>
      <c r="AY29" s="42" t="e">
        <f t="shared" si="57"/>
        <v>#N/A</v>
      </c>
      <c r="AZ29" s="42" t="e">
        <f t="shared" si="58"/>
        <v>#VALUE!</v>
      </c>
    </row>
    <row r="30" spans="1:52" x14ac:dyDescent="0.3">
      <c r="A30" s="109"/>
      <c r="B30" s="60"/>
      <c r="C30" s="60"/>
      <c r="D30" s="101"/>
      <c r="E30" s="60"/>
      <c r="F30" s="60"/>
      <c r="G30" s="43"/>
      <c r="H30" s="109"/>
      <c r="I30" s="109"/>
      <c r="J30" s="60"/>
      <c r="K30" s="60"/>
      <c r="L30" s="60"/>
      <c r="M30" s="60"/>
      <c r="N30" s="60"/>
      <c r="O30" s="60"/>
      <c r="P30" s="60"/>
      <c r="Q30" s="43"/>
      <c r="R30" s="43"/>
      <c r="S30" s="43"/>
      <c r="T30" s="43"/>
      <c r="U30" s="43"/>
      <c r="V30" s="43"/>
      <c r="W30" s="43"/>
      <c r="X30" s="43"/>
      <c r="Y30" s="60" t="str">
        <f t="shared" si="0"/>
        <v/>
      </c>
      <c r="Z30" s="43">
        <f t="shared" si="15"/>
        <v>5</v>
      </c>
      <c r="AA30" s="60" t="str">
        <f t="shared" si="1"/>
        <v>Other</v>
      </c>
      <c r="AB30" s="91" t="e">
        <f>VLOOKUP(AC30,IntAWS[],HLOOKUP("AWS Name",IntAWS[],2,FALSE),FALSE)</f>
        <v>#N/A</v>
      </c>
      <c r="AC30" s="87" t="str">
        <f t="shared" si="2"/>
        <v>Data Error: Check AADTs</v>
      </c>
      <c r="AD30" s="108" t="str">
        <f>IFERROR(VLOOKUP($AC30,IntAWS[],HLOOKUP("KABC Scaler",IntAWS[],2,FALSE),FALSE),"Data Error")</f>
        <v>Data Error</v>
      </c>
      <c r="AE30" s="43">
        <f t="shared" si="3"/>
        <v>0</v>
      </c>
      <c r="AF30" s="42" t="e">
        <f>$Z30*
(VLOOKUP(AC30,IntAWS[],HLOOKUP("Intercept",IntAWS[],2,FALSE),FALSE))*
($N30^VLOOKUP(AC30,IntAWS[],HLOOKUP("Minor AADT",IntAWS[],2,FALSE),FALSE))*
($M30^VLOOKUP(AC30,IntAWS[],HLOOKUP("Major AADT",IntAWS[],2,FALSE),FALSE))</f>
        <v>#N/A</v>
      </c>
      <c r="AG30" s="42" t="e">
        <f>((1/(1+VLOOKUP(AC30,IntAWS[],HLOOKUP("Dispersion Parameter",IntAWS[],2,FALSE),FALSE)*AF30))*AF30
+(1-1/(1+VLOOKUP(AC30,IntAWS[],HLOOKUP("Dispersion Parameter",IntAWS[],2,FALSE),FALSE)*AF30))*AE30)</f>
        <v>#N/A</v>
      </c>
      <c r="AH30" s="43">
        <f t="shared" si="4"/>
        <v>0</v>
      </c>
      <c r="AI30" s="42" t="str">
        <f t="shared" si="5"/>
        <v>Data Error</v>
      </c>
      <c r="AJ30" s="42" t="e">
        <f>((1/(1+VLOOKUP(AC30,IntAWS[],HLOOKUP("Dispersion Parameter",IntAWS[],2,FALSE),FALSE)*AI30))*AI30
+(1-1/(1+VLOOKUP(AC30,IntAWS[],HLOOKUP("Dispersion Parameter",IntAWS[],2,FALSE),FALSE)*AI30))*AH30)</f>
        <v>#N/A</v>
      </c>
      <c r="AK30" s="60">
        <f t="shared" si="6"/>
        <v>0</v>
      </c>
      <c r="AL30" s="60" t="str">
        <f t="shared" si="19"/>
        <v>Missing Data</v>
      </c>
      <c r="AM30" s="42" t="str">
        <f t="shared" si="20"/>
        <v>Missing Data</v>
      </c>
      <c r="AN30" s="60" t="str">
        <f t="shared" si="21"/>
        <v>Missing Data</v>
      </c>
      <c r="AO30" s="42" t="str">
        <f t="shared" si="22"/>
        <v>Missing Data</v>
      </c>
      <c r="AP30" s="43">
        <f t="shared" si="11"/>
        <v>0</v>
      </c>
      <c r="AQ30" s="43">
        <f t="shared" si="12"/>
        <v>0</v>
      </c>
      <c r="AR30" s="60" t="str">
        <f t="shared" si="18"/>
        <v>Missing Data</v>
      </c>
      <c r="AS30" s="106"/>
      <c r="AT30" s="106"/>
      <c r="AU30" s="42" t="e">
        <f>VLOOKUP(AC30,IntAWS[],HLOOKUP("Dispersion Parameter",IntAWS[],2,FALSE),FALSE)</f>
        <v>#N/A</v>
      </c>
      <c r="AV30" s="42" t="e">
        <f>VLOOKUP($AC30,IntAWS[],HLOOKUP("Dispersion Parameter",IntAWS[],2,FALSE),FALSE)</f>
        <v>#N/A</v>
      </c>
      <c r="AW30" s="42" t="e">
        <f t="shared" si="23"/>
        <v>#N/A</v>
      </c>
      <c r="AX30" s="42" t="e">
        <f t="shared" si="24"/>
        <v>#N/A</v>
      </c>
      <c r="AY30" s="42" t="e">
        <f t="shared" si="25"/>
        <v>#N/A</v>
      </c>
      <c r="AZ30" s="42" t="e">
        <f t="shared" si="26"/>
        <v>#VALUE!</v>
      </c>
    </row>
    <row r="31" spans="1:52" x14ac:dyDescent="0.3">
      <c r="A31" s="109"/>
      <c r="B31" s="60"/>
      <c r="C31" s="60"/>
      <c r="D31" s="101"/>
      <c r="E31" s="60"/>
      <c r="F31" s="60"/>
      <c r="G31" s="43"/>
      <c r="H31" s="109"/>
      <c r="I31" s="109"/>
      <c r="J31" s="60"/>
      <c r="K31" s="60"/>
      <c r="L31" s="60"/>
      <c r="M31" s="60"/>
      <c r="N31" s="60"/>
      <c r="O31" s="60"/>
      <c r="P31" s="60"/>
      <c r="Q31" s="43"/>
      <c r="R31" s="43"/>
      <c r="S31" s="43"/>
      <c r="T31" s="43"/>
      <c r="U31" s="43"/>
      <c r="V31" s="43"/>
      <c r="W31" s="43"/>
      <c r="X31" s="43"/>
      <c r="Y31" s="60" t="str">
        <f t="shared" si="0"/>
        <v/>
      </c>
      <c r="Z31" s="43">
        <f t="shared" si="15"/>
        <v>5</v>
      </c>
      <c r="AA31" s="60" t="str">
        <f t="shared" si="1"/>
        <v>Other</v>
      </c>
      <c r="AB31" s="91" t="e">
        <f>VLOOKUP(AC31,IntAWS[],HLOOKUP("AWS Name",IntAWS[],2,FALSE),FALSE)</f>
        <v>#N/A</v>
      </c>
      <c r="AC31" s="87" t="str">
        <f t="shared" si="2"/>
        <v>Data Error: Check AADTs</v>
      </c>
      <c r="AD31" s="108" t="str">
        <f>IFERROR(VLOOKUP($AC31,IntAWS[],HLOOKUP("KABC Scaler",IntAWS[],2,FALSE),FALSE),"Data Error")</f>
        <v>Data Error</v>
      </c>
      <c r="AE31" s="43">
        <f t="shared" si="3"/>
        <v>0</v>
      </c>
      <c r="AF31" s="42" t="e">
        <f>$Z31*
(VLOOKUP(AC31,IntAWS[],HLOOKUP("Intercept",IntAWS[],2,FALSE),FALSE))*
($N31^VLOOKUP(AC31,IntAWS[],HLOOKUP("Minor AADT",IntAWS[],2,FALSE),FALSE))*
($M31^VLOOKUP(AC31,IntAWS[],HLOOKUP("Major AADT",IntAWS[],2,FALSE),FALSE))</f>
        <v>#N/A</v>
      </c>
      <c r="AG31" s="42" t="e">
        <f>((1/(1+VLOOKUP(AC31,IntAWS[],HLOOKUP("Dispersion Parameter",IntAWS[],2,FALSE),FALSE)*AF31))*AF31
+(1-1/(1+VLOOKUP(AC31,IntAWS[],HLOOKUP("Dispersion Parameter",IntAWS[],2,FALSE),FALSE)*AF31))*AE31)</f>
        <v>#N/A</v>
      </c>
      <c r="AH31" s="43">
        <f t="shared" si="4"/>
        <v>0</v>
      </c>
      <c r="AI31" s="42" t="str">
        <f t="shared" si="5"/>
        <v>Data Error</v>
      </c>
      <c r="AJ31" s="42" t="e">
        <f>((1/(1+VLOOKUP(AC31,IntAWS[],HLOOKUP("Dispersion Parameter",IntAWS[],2,FALSE),FALSE)*AI31))*AI31
+(1-1/(1+VLOOKUP(AC31,IntAWS[],HLOOKUP("Dispersion Parameter",IntAWS[],2,FALSE),FALSE)*AI31))*AH31)</f>
        <v>#N/A</v>
      </c>
      <c r="AK31" s="60">
        <f t="shared" si="6"/>
        <v>0</v>
      </c>
      <c r="AL31" s="60" t="str">
        <f t="shared" si="19"/>
        <v>Missing Data</v>
      </c>
      <c r="AM31" s="42" t="str">
        <f t="shared" si="20"/>
        <v>Missing Data</v>
      </c>
      <c r="AN31" s="60" t="str">
        <f t="shared" si="21"/>
        <v>Missing Data</v>
      </c>
      <c r="AO31" s="42" t="str">
        <f t="shared" si="22"/>
        <v>Missing Data</v>
      </c>
      <c r="AP31" s="43">
        <f t="shared" si="11"/>
        <v>0</v>
      </c>
      <c r="AQ31" s="43">
        <f t="shared" si="12"/>
        <v>0</v>
      </c>
      <c r="AR31" s="60" t="str">
        <f t="shared" si="18"/>
        <v>Missing Data</v>
      </c>
      <c r="AS31" s="106"/>
      <c r="AT31" s="106"/>
      <c r="AU31" s="42" t="e">
        <f>VLOOKUP(AC31,IntAWS[],HLOOKUP("Dispersion Parameter",IntAWS[],2,FALSE),FALSE)</f>
        <v>#N/A</v>
      </c>
      <c r="AV31" s="42" t="e">
        <f>VLOOKUP($AC31,IntAWS[],HLOOKUP("Dispersion Parameter",IntAWS[],2,FALSE),FALSE)</f>
        <v>#N/A</v>
      </c>
      <c r="AW31" s="42" t="e">
        <f t="shared" si="23"/>
        <v>#N/A</v>
      </c>
      <c r="AX31" s="42" t="e">
        <f t="shared" si="24"/>
        <v>#N/A</v>
      </c>
      <c r="AY31" s="42" t="e">
        <f t="shared" si="25"/>
        <v>#N/A</v>
      </c>
      <c r="AZ31" s="42" t="e">
        <f t="shared" si="26"/>
        <v>#VALUE!</v>
      </c>
    </row>
    <row r="32" spans="1:52" x14ac:dyDescent="0.3">
      <c r="A32" s="109"/>
      <c r="B32" s="60"/>
      <c r="C32" s="60"/>
      <c r="D32" s="101"/>
      <c r="E32" s="60"/>
      <c r="F32" s="60"/>
      <c r="G32" s="43"/>
      <c r="H32" s="109"/>
      <c r="I32" s="109"/>
      <c r="J32" s="60"/>
      <c r="K32" s="60"/>
      <c r="L32" s="60"/>
      <c r="M32" s="60"/>
      <c r="N32" s="60"/>
      <c r="O32" s="60"/>
      <c r="P32" s="60"/>
      <c r="Q32" s="43"/>
      <c r="R32" s="43"/>
      <c r="S32" s="43"/>
      <c r="T32" s="43"/>
      <c r="U32" s="43"/>
      <c r="V32" s="43"/>
      <c r="W32" s="43"/>
      <c r="X32" s="43"/>
      <c r="Y32" s="60" t="str">
        <f t="shared" si="0"/>
        <v/>
      </c>
      <c r="Z32" s="43">
        <f t="shared" si="15"/>
        <v>5</v>
      </c>
      <c r="AA32" s="60" t="str">
        <f t="shared" si="1"/>
        <v>Other</v>
      </c>
      <c r="AB32" s="91" t="e">
        <f>VLOOKUP(AC32,IntAWS[],HLOOKUP("AWS Name",IntAWS[],2,FALSE),FALSE)</f>
        <v>#N/A</v>
      </c>
      <c r="AC32" s="87" t="str">
        <f t="shared" si="2"/>
        <v>Data Error: Check AADTs</v>
      </c>
      <c r="AD32" s="108" t="str">
        <f>IFERROR(VLOOKUP($AC32,IntAWS[],HLOOKUP("KABC Scaler",IntAWS[],2,FALSE),FALSE),"Data Error")</f>
        <v>Data Error</v>
      </c>
      <c r="AE32" s="43">
        <f t="shared" si="3"/>
        <v>0</v>
      </c>
      <c r="AF32" s="42" t="e">
        <f>$Z32*
(VLOOKUP(AC32,IntAWS[],HLOOKUP("Intercept",IntAWS[],2,FALSE),FALSE))*
($N32^VLOOKUP(AC32,IntAWS[],HLOOKUP("Minor AADT",IntAWS[],2,FALSE),FALSE))*
($M32^VLOOKUP(AC32,IntAWS[],HLOOKUP("Major AADT",IntAWS[],2,FALSE),FALSE))</f>
        <v>#N/A</v>
      </c>
      <c r="AG32" s="42" t="e">
        <f>((1/(1+VLOOKUP(AC32,IntAWS[],HLOOKUP("Dispersion Parameter",IntAWS[],2,FALSE),FALSE)*AF32))*AF32
+(1-1/(1+VLOOKUP(AC32,IntAWS[],HLOOKUP("Dispersion Parameter",IntAWS[],2,FALSE),FALSE)*AF32))*AE32)</f>
        <v>#N/A</v>
      </c>
      <c r="AH32" s="43">
        <f t="shared" si="4"/>
        <v>0</v>
      </c>
      <c r="AI32" s="42" t="str">
        <f t="shared" si="5"/>
        <v>Data Error</v>
      </c>
      <c r="AJ32" s="42" t="e">
        <f>((1/(1+VLOOKUP(AC32,IntAWS[],HLOOKUP("Dispersion Parameter",IntAWS[],2,FALSE),FALSE)*AI32))*AI32
+(1-1/(1+VLOOKUP(AC32,IntAWS[],HLOOKUP("Dispersion Parameter",IntAWS[],2,FALSE),FALSE)*AI32))*AH32)</f>
        <v>#N/A</v>
      </c>
      <c r="AK32" s="60">
        <f t="shared" si="6"/>
        <v>0</v>
      </c>
      <c r="AL32" s="60" t="str">
        <f t="shared" si="19"/>
        <v>Missing Data</v>
      </c>
      <c r="AM32" s="42" t="str">
        <f t="shared" si="20"/>
        <v>Missing Data</v>
      </c>
      <c r="AN32" s="60" t="str">
        <f t="shared" si="21"/>
        <v>Missing Data</v>
      </c>
      <c r="AO32" s="42" t="str">
        <f t="shared" si="22"/>
        <v>Missing Data</v>
      </c>
      <c r="AP32" s="43">
        <f t="shared" si="11"/>
        <v>0</v>
      </c>
      <c r="AQ32" s="43">
        <f t="shared" si="12"/>
        <v>0</v>
      </c>
      <c r="AR32" s="60" t="str">
        <f t="shared" si="18"/>
        <v>Missing Data</v>
      </c>
      <c r="AS32" s="106"/>
      <c r="AT32" s="106"/>
      <c r="AU32" s="42" t="e">
        <f>VLOOKUP(AC32,IntAWS[],HLOOKUP("Dispersion Parameter",IntAWS[],2,FALSE),FALSE)</f>
        <v>#N/A</v>
      </c>
      <c r="AV32" s="42" t="e">
        <f>VLOOKUP($AC32,IntAWS[],HLOOKUP("Dispersion Parameter",IntAWS[],2,FALSE),FALSE)</f>
        <v>#N/A</v>
      </c>
      <c r="AW32" s="42" t="e">
        <f t="shared" si="23"/>
        <v>#N/A</v>
      </c>
      <c r="AX32" s="42" t="e">
        <f t="shared" si="24"/>
        <v>#N/A</v>
      </c>
      <c r="AY32" s="42" t="e">
        <f t="shared" si="25"/>
        <v>#N/A</v>
      </c>
      <c r="AZ32" s="42" t="e">
        <f t="shared" si="26"/>
        <v>#VALUE!</v>
      </c>
    </row>
    <row r="33" spans="1:52" x14ac:dyDescent="0.3">
      <c r="A33" s="109"/>
      <c r="B33" s="60"/>
      <c r="C33" s="60"/>
      <c r="D33" s="101"/>
      <c r="E33" s="60"/>
      <c r="F33" s="60"/>
      <c r="G33" s="43"/>
      <c r="H33" s="109"/>
      <c r="I33" s="109"/>
      <c r="J33" s="60"/>
      <c r="K33" s="60"/>
      <c r="L33" s="60"/>
      <c r="M33" s="60"/>
      <c r="N33" s="60"/>
      <c r="O33" s="60"/>
      <c r="P33" s="60"/>
      <c r="Q33" s="43"/>
      <c r="R33" s="43"/>
      <c r="S33" s="43"/>
      <c r="T33" s="43"/>
      <c r="U33" s="43"/>
      <c r="V33" s="43"/>
      <c r="W33" s="43"/>
      <c r="X33" s="43"/>
      <c r="Y33" s="60" t="str">
        <f t="shared" si="0"/>
        <v/>
      </c>
      <c r="Z33" s="43">
        <f t="shared" si="15"/>
        <v>5</v>
      </c>
      <c r="AA33" s="60" t="str">
        <f t="shared" si="1"/>
        <v>Other</v>
      </c>
      <c r="AB33" s="91" t="e">
        <f>VLOOKUP(AC33,IntAWS[],HLOOKUP("AWS Name",IntAWS[],2,FALSE),FALSE)</f>
        <v>#N/A</v>
      </c>
      <c r="AC33" s="87" t="str">
        <f t="shared" si="2"/>
        <v>Data Error: Check AADTs</v>
      </c>
      <c r="AD33" s="108" t="str">
        <f>IFERROR(VLOOKUP($AC33,IntAWS[],HLOOKUP("KABC Scaler",IntAWS[],2,FALSE),FALSE),"Data Error")</f>
        <v>Data Error</v>
      </c>
      <c r="AE33" s="43">
        <f t="shared" si="3"/>
        <v>0</v>
      </c>
      <c r="AF33" s="42" t="e">
        <f>$Z33*
(VLOOKUP(AC33,IntAWS[],HLOOKUP("Intercept",IntAWS[],2,FALSE),FALSE))*
($N33^VLOOKUP(AC33,IntAWS[],HLOOKUP("Minor AADT",IntAWS[],2,FALSE),FALSE))*
($M33^VLOOKUP(AC33,IntAWS[],HLOOKUP("Major AADT",IntAWS[],2,FALSE),FALSE))</f>
        <v>#N/A</v>
      </c>
      <c r="AG33" s="42" t="e">
        <f>((1/(1+VLOOKUP(AC33,IntAWS[],HLOOKUP("Dispersion Parameter",IntAWS[],2,FALSE),FALSE)*AF33))*AF33
+(1-1/(1+VLOOKUP(AC33,IntAWS[],HLOOKUP("Dispersion Parameter",IntAWS[],2,FALSE),FALSE)*AF33))*AE33)</f>
        <v>#N/A</v>
      </c>
      <c r="AH33" s="43">
        <f t="shared" si="4"/>
        <v>0</v>
      </c>
      <c r="AI33" s="42" t="str">
        <f t="shared" si="5"/>
        <v>Data Error</v>
      </c>
      <c r="AJ33" s="42" t="e">
        <f>((1/(1+VLOOKUP(AC33,IntAWS[],HLOOKUP("Dispersion Parameter",IntAWS[],2,FALSE),FALSE)*AI33))*AI33
+(1-1/(1+VLOOKUP(AC33,IntAWS[],HLOOKUP("Dispersion Parameter",IntAWS[],2,FALSE),FALSE)*AI33))*AH33)</f>
        <v>#N/A</v>
      </c>
      <c r="AK33" s="60">
        <f t="shared" si="6"/>
        <v>0</v>
      </c>
      <c r="AL33" s="60" t="str">
        <f t="shared" si="19"/>
        <v>Missing Data</v>
      </c>
      <c r="AM33" s="42" t="str">
        <f t="shared" si="20"/>
        <v>Missing Data</v>
      </c>
      <c r="AN33" s="60" t="str">
        <f t="shared" si="21"/>
        <v>Missing Data</v>
      </c>
      <c r="AO33" s="42" t="str">
        <f t="shared" si="22"/>
        <v>Missing Data</v>
      </c>
      <c r="AP33" s="43">
        <f t="shared" si="11"/>
        <v>0</v>
      </c>
      <c r="AQ33" s="43">
        <f t="shared" si="12"/>
        <v>0</v>
      </c>
      <c r="AR33" s="60" t="str">
        <f t="shared" si="18"/>
        <v>Missing Data</v>
      </c>
      <c r="AS33" s="106"/>
      <c r="AT33" s="106"/>
      <c r="AU33" s="42" t="e">
        <f>VLOOKUP(AC33,IntAWS[],HLOOKUP("Dispersion Parameter",IntAWS[],2,FALSE),FALSE)</f>
        <v>#N/A</v>
      </c>
      <c r="AV33" s="42" t="e">
        <f>VLOOKUP($AC33,IntAWS[],HLOOKUP("Dispersion Parameter",IntAWS[],2,FALSE),FALSE)</f>
        <v>#N/A</v>
      </c>
      <c r="AW33" s="42" t="e">
        <f t="shared" si="23"/>
        <v>#N/A</v>
      </c>
      <c r="AX33" s="42" t="e">
        <f t="shared" si="24"/>
        <v>#N/A</v>
      </c>
      <c r="AY33" s="42" t="e">
        <f t="shared" si="25"/>
        <v>#N/A</v>
      </c>
      <c r="AZ33" s="42" t="e">
        <f t="shared" si="26"/>
        <v>#VALUE!</v>
      </c>
    </row>
    <row r="34" spans="1:52" x14ac:dyDescent="0.3">
      <c r="A34" s="109"/>
      <c r="B34" s="60"/>
      <c r="C34" s="60"/>
      <c r="D34" s="101"/>
      <c r="E34" s="60"/>
      <c r="F34" s="60"/>
      <c r="G34" s="43"/>
      <c r="H34" s="109"/>
      <c r="I34" s="109"/>
      <c r="J34" s="60"/>
      <c r="K34" s="60"/>
      <c r="L34" s="60"/>
      <c r="M34" s="60"/>
      <c r="N34" s="60"/>
      <c r="O34" s="60"/>
      <c r="P34" s="60"/>
      <c r="Q34" s="43"/>
      <c r="R34" s="43"/>
      <c r="S34" s="43"/>
      <c r="T34" s="43"/>
      <c r="U34" s="43"/>
      <c r="V34" s="43"/>
      <c r="W34" s="43"/>
      <c r="X34" s="43"/>
      <c r="Y34" s="60" t="str">
        <f t="shared" si="0"/>
        <v/>
      </c>
      <c r="Z34" s="43">
        <f t="shared" si="15"/>
        <v>5</v>
      </c>
      <c r="AA34" s="60" t="str">
        <f t="shared" si="1"/>
        <v>Other</v>
      </c>
      <c r="AB34" s="91" t="e">
        <f>VLOOKUP(AC34,IntAWS[],HLOOKUP("AWS Name",IntAWS[],2,FALSE),FALSE)</f>
        <v>#N/A</v>
      </c>
      <c r="AC34" s="87" t="str">
        <f t="shared" si="2"/>
        <v>Data Error: Check AADTs</v>
      </c>
      <c r="AD34" s="108" t="str">
        <f>IFERROR(VLOOKUP($AC34,IntAWS[],HLOOKUP("KABC Scaler",IntAWS[],2,FALSE),FALSE),"Data Error")</f>
        <v>Data Error</v>
      </c>
      <c r="AE34" s="43">
        <f t="shared" si="3"/>
        <v>0</v>
      </c>
      <c r="AF34" s="42" t="e">
        <f>$Z34*
(VLOOKUP(AC34,IntAWS[],HLOOKUP("Intercept",IntAWS[],2,FALSE),FALSE))*
($N34^VLOOKUP(AC34,IntAWS[],HLOOKUP("Minor AADT",IntAWS[],2,FALSE),FALSE))*
($M34^VLOOKUP(AC34,IntAWS[],HLOOKUP("Major AADT",IntAWS[],2,FALSE),FALSE))</f>
        <v>#N/A</v>
      </c>
      <c r="AG34" s="42" t="e">
        <f>((1/(1+VLOOKUP(AC34,IntAWS[],HLOOKUP("Dispersion Parameter",IntAWS[],2,FALSE),FALSE)*AF34))*AF34
+(1-1/(1+VLOOKUP(AC34,IntAWS[],HLOOKUP("Dispersion Parameter",IntAWS[],2,FALSE),FALSE)*AF34))*AE34)</f>
        <v>#N/A</v>
      </c>
      <c r="AH34" s="43">
        <f t="shared" si="4"/>
        <v>0</v>
      </c>
      <c r="AI34" s="42" t="str">
        <f t="shared" si="5"/>
        <v>Data Error</v>
      </c>
      <c r="AJ34" s="42" t="e">
        <f>((1/(1+VLOOKUP(AC34,IntAWS[],HLOOKUP("Dispersion Parameter",IntAWS[],2,FALSE),FALSE)*AI34))*AI34
+(1-1/(1+VLOOKUP(AC34,IntAWS[],HLOOKUP("Dispersion Parameter",IntAWS[],2,FALSE),FALSE)*AI34))*AH34)</f>
        <v>#N/A</v>
      </c>
      <c r="AK34" s="60">
        <f t="shared" si="6"/>
        <v>0</v>
      </c>
      <c r="AL34" s="60" t="str">
        <f t="shared" si="19"/>
        <v>Missing Data</v>
      </c>
      <c r="AM34" s="42" t="str">
        <f t="shared" si="20"/>
        <v>Missing Data</v>
      </c>
      <c r="AN34" s="60" t="str">
        <f t="shared" si="21"/>
        <v>Missing Data</v>
      </c>
      <c r="AO34" s="42" t="str">
        <f t="shared" si="22"/>
        <v>Missing Data</v>
      </c>
      <c r="AP34" s="43">
        <f t="shared" si="11"/>
        <v>0</v>
      </c>
      <c r="AQ34" s="43">
        <f t="shared" si="12"/>
        <v>0</v>
      </c>
      <c r="AR34" s="60" t="str">
        <f t="shared" si="18"/>
        <v>Missing Data</v>
      </c>
      <c r="AS34" s="106"/>
      <c r="AT34" s="106"/>
      <c r="AU34" s="42" t="e">
        <f>VLOOKUP(AC34,IntAWS[],HLOOKUP("Dispersion Parameter",IntAWS[],2,FALSE),FALSE)</f>
        <v>#N/A</v>
      </c>
      <c r="AV34" s="42" t="e">
        <f>VLOOKUP($AC34,IntAWS[],HLOOKUP("Dispersion Parameter",IntAWS[],2,FALSE),FALSE)</f>
        <v>#N/A</v>
      </c>
      <c r="AW34" s="42" t="e">
        <f t="shared" si="23"/>
        <v>#N/A</v>
      </c>
      <c r="AX34" s="42" t="e">
        <f t="shared" si="24"/>
        <v>#N/A</v>
      </c>
      <c r="AY34" s="42" t="e">
        <f t="shared" si="25"/>
        <v>#N/A</v>
      </c>
      <c r="AZ34" s="42" t="e">
        <f t="shared" si="26"/>
        <v>#VALUE!</v>
      </c>
    </row>
    <row r="35" spans="1:52" x14ac:dyDescent="0.3">
      <c r="A35" s="109"/>
      <c r="B35" s="60"/>
      <c r="C35" s="60"/>
      <c r="D35" s="101"/>
      <c r="E35" s="60"/>
      <c r="F35" s="60"/>
      <c r="G35" s="43"/>
      <c r="H35" s="109"/>
      <c r="I35" s="109"/>
      <c r="J35" s="60"/>
      <c r="K35" s="60"/>
      <c r="L35" s="60"/>
      <c r="M35" s="60"/>
      <c r="N35" s="60"/>
      <c r="O35" s="60"/>
      <c r="P35" s="60"/>
      <c r="Q35" s="43"/>
      <c r="R35" s="43"/>
      <c r="S35" s="43"/>
      <c r="T35" s="43"/>
      <c r="U35" s="43"/>
      <c r="V35" s="43"/>
      <c r="W35" s="43"/>
      <c r="X35" s="43"/>
      <c r="Y35" s="60" t="str">
        <f t="shared" si="0"/>
        <v/>
      </c>
      <c r="Z35" s="43">
        <f t="shared" si="15"/>
        <v>5</v>
      </c>
      <c r="AA35" s="60" t="str">
        <f t="shared" si="1"/>
        <v>Other</v>
      </c>
      <c r="AB35" s="91" t="e">
        <f>VLOOKUP(AC35,IntAWS[],HLOOKUP("AWS Name",IntAWS[],2,FALSE),FALSE)</f>
        <v>#N/A</v>
      </c>
      <c r="AC35" s="87" t="str">
        <f t="shared" si="2"/>
        <v>Data Error: Check AADTs</v>
      </c>
      <c r="AD35" s="108" t="str">
        <f>IFERROR(VLOOKUP($AC35,IntAWS[],HLOOKUP("KABC Scaler",IntAWS[],2,FALSE),FALSE),"Data Error")</f>
        <v>Data Error</v>
      </c>
      <c r="AE35" s="43">
        <f t="shared" si="3"/>
        <v>0</v>
      </c>
      <c r="AF35" s="42" t="e">
        <f>$Z35*
(VLOOKUP(AC35,IntAWS[],HLOOKUP("Intercept",IntAWS[],2,FALSE),FALSE))*
($N35^VLOOKUP(AC35,IntAWS[],HLOOKUP("Minor AADT",IntAWS[],2,FALSE),FALSE))*
($M35^VLOOKUP(AC35,IntAWS[],HLOOKUP("Major AADT",IntAWS[],2,FALSE),FALSE))</f>
        <v>#N/A</v>
      </c>
      <c r="AG35" s="42" t="e">
        <f>((1/(1+VLOOKUP(AC35,IntAWS[],HLOOKUP("Dispersion Parameter",IntAWS[],2,FALSE),FALSE)*AF35))*AF35
+(1-1/(1+VLOOKUP(AC35,IntAWS[],HLOOKUP("Dispersion Parameter",IntAWS[],2,FALSE),FALSE)*AF35))*AE35)</f>
        <v>#N/A</v>
      </c>
      <c r="AH35" s="43">
        <f t="shared" si="4"/>
        <v>0</v>
      </c>
      <c r="AI35" s="42" t="str">
        <f t="shared" si="5"/>
        <v>Data Error</v>
      </c>
      <c r="AJ35" s="42" t="e">
        <f>((1/(1+VLOOKUP(AC35,IntAWS[],HLOOKUP("Dispersion Parameter",IntAWS[],2,FALSE),FALSE)*AI35))*AI35
+(1-1/(1+VLOOKUP(AC35,IntAWS[],HLOOKUP("Dispersion Parameter",IntAWS[],2,FALSE),FALSE)*AI35))*AH35)</f>
        <v>#N/A</v>
      </c>
      <c r="AK35" s="60">
        <f t="shared" si="6"/>
        <v>0</v>
      </c>
      <c r="AL35" s="60" t="str">
        <f t="shared" si="19"/>
        <v>Missing Data</v>
      </c>
      <c r="AM35" s="42" t="str">
        <f t="shared" si="20"/>
        <v>Missing Data</v>
      </c>
      <c r="AN35" s="60" t="str">
        <f t="shared" si="21"/>
        <v>Missing Data</v>
      </c>
      <c r="AO35" s="42" t="str">
        <f t="shared" si="22"/>
        <v>Missing Data</v>
      </c>
      <c r="AP35" s="43">
        <f t="shared" si="11"/>
        <v>0</v>
      </c>
      <c r="AQ35" s="43">
        <f t="shared" si="12"/>
        <v>0</v>
      </c>
      <c r="AR35" s="60" t="str">
        <f t="shared" si="18"/>
        <v>Missing Data</v>
      </c>
      <c r="AS35" s="106"/>
      <c r="AT35" s="106"/>
      <c r="AU35" s="42" t="e">
        <f>VLOOKUP(AC35,IntAWS[],HLOOKUP("Dispersion Parameter",IntAWS[],2,FALSE),FALSE)</f>
        <v>#N/A</v>
      </c>
      <c r="AV35" s="42" t="e">
        <f>VLOOKUP($AC35,IntAWS[],HLOOKUP("Dispersion Parameter",IntAWS[],2,FALSE),FALSE)</f>
        <v>#N/A</v>
      </c>
      <c r="AW35" s="42" t="e">
        <f t="shared" si="23"/>
        <v>#N/A</v>
      </c>
      <c r="AX35" s="42" t="e">
        <f t="shared" si="24"/>
        <v>#N/A</v>
      </c>
      <c r="AY35" s="42" t="e">
        <f t="shared" si="25"/>
        <v>#N/A</v>
      </c>
      <c r="AZ35" s="42" t="e">
        <f t="shared" si="26"/>
        <v>#VALUE!</v>
      </c>
    </row>
    <row r="36" spans="1:52" x14ac:dyDescent="0.3">
      <c r="A36" s="109"/>
      <c r="B36" s="60"/>
      <c r="C36" s="60"/>
      <c r="D36" s="101"/>
      <c r="E36" s="60"/>
      <c r="F36" s="60"/>
      <c r="G36" s="43"/>
      <c r="H36" s="109"/>
      <c r="I36" s="109"/>
      <c r="J36" s="60"/>
      <c r="K36" s="60"/>
      <c r="L36" s="60"/>
      <c r="M36" s="60"/>
      <c r="N36" s="60"/>
      <c r="O36" s="60"/>
      <c r="P36" s="60"/>
      <c r="Q36" s="43"/>
      <c r="R36" s="43"/>
      <c r="S36" s="43"/>
      <c r="T36" s="43"/>
      <c r="U36" s="43"/>
      <c r="V36" s="43"/>
      <c r="W36" s="43"/>
      <c r="X36" s="43"/>
      <c r="Y36" s="60" t="str">
        <f t="shared" si="0"/>
        <v/>
      </c>
      <c r="Z36" s="43">
        <f t="shared" si="15"/>
        <v>5</v>
      </c>
      <c r="AA36" s="60" t="str">
        <f t="shared" si="1"/>
        <v>Other</v>
      </c>
      <c r="AB36" s="91" t="e">
        <f>VLOOKUP(AC36,IntAWS[],HLOOKUP("AWS Name",IntAWS[],2,FALSE),FALSE)</f>
        <v>#N/A</v>
      </c>
      <c r="AC36" s="87" t="str">
        <f t="shared" si="2"/>
        <v>Data Error: Check AADTs</v>
      </c>
      <c r="AD36" s="108" t="str">
        <f>IFERROR(VLOOKUP($AC36,IntAWS[],HLOOKUP("KABC Scaler",IntAWS[],2,FALSE),FALSE),"Data Error")</f>
        <v>Data Error</v>
      </c>
      <c r="AE36" s="43">
        <f t="shared" si="3"/>
        <v>0</v>
      </c>
      <c r="AF36" s="42" t="e">
        <f>$Z36*
(VLOOKUP(AC36,IntAWS[],HLOOKUP("Intercept",IntAWS[],2,FALSE),FALSE))*
($N36^VLOOKUP(AC36,IntAWS[],HLOOKUP("Minor AADT",IntAWS[],2,FALSE),FALSE))*
($M36^VLOOKUP(AC36,IntAWS[],HLOOKUP("Major AADT",IntAWS[],2,FALSE),FALSE))</f>
        <v>#N/A</v>
      </c>
      <c r="AG36" s="42" t="e">
        <f>((1/(1+VLOOKUP(AC36,IntAWS[],HLOOKUP("Dispersion Parameter",IntAWS[],2,FALSE),FALSE)*AF36))*AF36
+(1-1/(1+VLOOKUP(AC36,IntAWS[],HLOOKUP("Dispersion Parameter",IntAWS[],2,FALSE),FALSE)*AF36))*AE36)</f>
        <v>#N/A</v>
      </c>
      <c r="AH36" s="43">
        <f t="shared" si="4"/>
        <v>0</v>
      </c>
      <c r="AI36" s="42" t="str">
        <f t="shared" si="5"/>
        <v>Data Error</v>
      </c>
      <c r="AJ36" s="42" t="e">
        <f>((1/(1+VLOOKUP(AC36,IntAWS[],HLOOKUP("Dispersion Parameter",IntAWS[],2,FALSE),FALSE)*AI36))*AI36
+(1-1/(1+VLOOKUP(AC36,IntAWS[],HLOOKUP("Dispersion Parameter",IntAWS[],2,FALSE),FALSE)*AI36))*AH36)</f>
        <v>#N/A</v>
      </c>
      <c r="AK36" s="60">
        <f t="shared" si="6"/>
        <v>0</v>
      </c>
      <c r="AL36" s="60" t="str">
        <f t="shared" si="19"/>
        <v>Missing Data</v>
      </c>
      <c r="AM36" s="42" t="str">
        <f t="shared" si="20"/>
        <v>Missing Data</v>
      </c>
      <c r="AN36" s="60" t="str">
        <f t="shared" si="21"/>
        <v>Missing Data</v>
      </c>
      <c r="AO36" s="42" t="str">
        <f t="shared" si="22"/>
        <v>Missing Data</v>
      </c>
      <c r="AP36" s="43">
        <f t="shared" si="11"/>
        <v>0</v>
      </c>
      <c r="AQ36" s="43">
        <f t="shared" si="12"/>
        <v>0</v>
      </c>
      <c r="AR36" s="60" t="str">
        <f t="shared" si="18"/>
        <v>Missing Data</v>
      </c>
      <c r="AS36" s="106"/>
      <c r="AT36" s="106"/>
      <c r="AU36" s="42" t="e">
        <f>VLOOKUP(AC36,IntAWS[],HLOOKUP("Dispersion Parameter",IntAWS[],2,FALSE),FALSE)</f>
        <v>#N/A</v>
      </c>
      <c r="AV36" s="42" t="e">
        <f>VLOOKUP($AC36,IntAWS[],HLOOKUP("Dispersion Parameter",IntAWS[],2,FALSE),FALSE)</f>
        <v>#N/A</v>
      </c>
      <c r="AW36" s="42" t="e">
        <f t="shared" si="23"/>
        <v>#N/A</v>
      </c>
      <c r="AX36" s="42" t="e">
        <f t="shared" si="24"/>
        <v>#N/A</v>
      </c>
      <c r="AY36" s="42" t="e">
        <f t="shared" si="25"/>
        <v>#N/A</v>
      </c>
      <c r="AZ36" s="42" t="e">
        <f t="shared" si="26"/>
        <v>#VALUE!</v>
      </c>
    </row>
    <row r="37" spans="1:52" x14ac:dyDescent="0.3">
      <c r="A37" s="109"/>
      <c r="B37" s="60"/>
      <c r="C37" s="60"/>
      <c r="D37" s="101"/>
      <c r="E37" s="60"/>
      <c r="F37" s="60"/>
      <c r="G37" s="43"/>
      <c r="H37" s="109"/>
      <c r="I37" s="109"/>
      <c r="J37" s="60"/>
      <c r="K37" s="60"/>
      <c r="L37" s="60"/>
      <c r="M37" s="60"/>
      <c r="N37" s="60"/>
      <c r="O37" s="60"/>
      <c r="P37" s="60"/>
      <c r="Q37" s="43"/>
      <c r="R37" s="43"/>
      <c r="S37" s="43"/>
      <c r="T37" s="43"/>
      <c r="U37" s="43"/>
      <c r="V37" s="43"/>
      <c r="W37" s="43"/>
      <c r="X37" s="43"/>
      <c r="Y37" s="60" t="str">
        <f t="shared" si="0"/>
        <v/>
      </c>
      <c r="Z37" s="43">
        <f t="shared" si="15"/>
        <v>5</v>
      </c>
      <c r="AA37" s="60" t="str">
        <f t="shared" si="1"/>
        <v>Other</v>
      </c>
      <c r="AB37" s="91" t="e">
        <f>VLOOKUP(AC37,IntAWS[],HLOOKUP("AWS Name",IntAWS[],2,FALSE),FALSE)</f>
        <v>#N/A</v>
      </c>
      <c r="AC37" s="87" t="str">
        <f t="shared" si="2"/>
        <v>Data Error: Check AADTs</v>
      </c>
      <c r="AD37" s="108" t="str">
        <f>IFERROR(VLOOKUP($AC37,IntAWS[],HLOOKUP("KABC Scaler",IntAWS[],2,FALSE),FALSE),"Data Error")</f>
        <v>Data Error</v>
      </c>
      <c r="AE37" s="43">
        <f t="shared" si="3"/>
        <v>0</v>
      </c>
      <c r="AF37" s="42" t="e">
        <f>$Z37*
(VLOOKUP(AC37,IntAWS[],HLOOKUP("Intercept",IntAWS[],2,FALSE),FALSE))*
($N37^VLOOKUP(AC37,IntAWS[],HLOOKUP("Minor AADT",IntAWS[],2,FALSE),FALSE))*
($M37^VLOOKUP(AC37,IntAWS[],HLOOKUP("Major AADT",IntAWS[],2,FALSE),FALSE))</f>
        <v>#N/A</v>
      </c>
      <c r="AG37" s="42" t="e">
        <f>((1/(1+VLOOKUP(AC37,IntAWS[],HLOOKUP("Dispersion Parameter",IntAWS[],2,FALSE),FALSE)*AF37))*AF37
+(1-1/(1+VLOOKUP(AC37,IntAWS[],HLOOKUP("Dispersion Parameter",IntAWS[],2,FALSE),FALSE)*AF37))*AE37)</f>
        <v>#N/A</v>
      </c>
      <c r="AH37" s="43">
        <f t="shared" si="4"/>
        <v>0</v>
      </c>
      <c r="AI37" s="42" t="str">
        <f t="shared" si="5"/>
        <v>Data Error</v>
      </c>
      <c r="AJ37" s="42" t="e">
        <f>((1/(1+VLOOKUP(AC37,IntAWS[],HLOOKUP("Dispersion Parameter",IntAWS[],2,FALSE),FALSE)*AI37))*AI37
+(1-1/(1+VLOOKUP(AC37,IntAWS[],HLOOKUP("Dispersion Parameter",IntAWS[],2,FALSE),FALSE)*AI37))*AH37)</f>
        <v>#N/A</v>
      </c>
      <c r="AK37" s="60">
        <f t="shared" si="6"/>
        <v>0</v>
      </c>
      <c r="AL37" s="60" t="str">
        <f t="shared" si="19"/>
        <v>Missing Data</v>
      </c>
      <c r="AM37" s="42" t="str">
        <f t="shared" si="20"/>
        <v>Missing Data</v>
      </c>
      <c r="AN37" s="60" t="str">
        <f t="shared" si="21"/>
        <v>Missing Data</v>
      </c>
      <c r="AO37" s="42" t="str">
        <f t="shared" si="22"/>
        <v>Missing Data</v>
      </c>
      <c r="AP37" s="43">
        <f t="shared" si="11"/>
        <v>0</v>
      </c>
      <c r="AQ37" s="43">
        <f t="shared" si="12"/>
        <v>0</v>
      </c>
      <c r="AR37" s="60" t="str">
        <f t="shared" si="18"/>
        <v>Missing Data</v>
      </c>
      <c r="AS37" s="106"/>
      <c r="AT37" s="106"/>
      <c r="AU37" s="42" t="e">
        <f>VLOOKUP(AC37,IntAWS[],HLOOKUP("Dispersion Parameter",IntAWS[],2,FALSE),FALSE)</f>
        <v>#N/A</v>
      </c>
      <c r="AV37" s="42" t="e">
        <f>VLOOKUP($AC37,IntAWS[],HLOOKUP("Dispersion Parameter",IntAWS[],2,FALSE),FALSE)</f>
        <v>#N/A</v>
      </c>
      <c r="AW37" s="42" t="e">
        <f t="shared" si="23"/>
        <v>#N/A</v>
      </c>
      <c r="AX37" s="42" t="e">
        <f t="shared" si="24"/>
        <v>#N/A</v>
      </c>
      <c r="AY37" s="42" t="e">
        <f t="shared" si="25"/>
        <v>#N/A</v>
      </c>
      <c r="AZ37" s="42" t="e">
        <f t="shared" si="26"/>
        <v>#VALUE!</v>
      </c>
    </row>
    <row r="38" spans="1:52" x14ac:dyDescent="0.3">
      <c r="A38" s="109"/>
      <c r="B38" s="60"/>
      <c r="C38" s="60"/>
      <c r="D38" s="101"/>
      <c r="E38" s="60"/>
      <c r="F38" s="60"/>
      <c r="G38" s="43"/>
      <c r="H38" s="109"/>
      <c r="I38" s="109"/>
      <c r="J38" s="60"/>
      <c r="K38" s="60"/>
      <c r="L38" s="60"/>
      <c r="M38" s="60"/>
      <c r="N38" s="60"/>
      <c r="O38" s="60"/>
      <c r="P38" s="60"/>
      <c r="Q38" s="43"/>
      <c r="R38" s="43"/>
      <c r="S38" s="43"/>
      <c r="T38" s="43"/>
      <c r="U38" s="43"/>
      <c r="V38" s="43"/>
      <c r="W38" s="43"/>
      <c r="X38" s="43"/>
      <c r="Y38" s="60" t="str">
        <f t="shared" si="0"/>
        <v/>
      </c>
      <c r="Z38" s="43">
        <f t="shared" si="15"/>
        <v>5</v>
      </c>
      <c r="AA38" s="60" t="str">
        <f t="shared" si="1"/>
        <v>Other</v>
      </c>
      <c r="AB38" s="91" t="e">
        <f>VLOOKUP(AC38,IntAWS[],HLOOKUP("AWS Name",IntAWS[],2,FALSE),FALSE)</f>
        <v>#N/A</v>
      </c>
      <c r="AC38" s="87" t="str">
        <f t="shared" si="2"/>
        <v>Data Error: Check AADTs</v>
      </c>
      <c r="AD38" s="108" t="str">
        <f>IFERROR(VLOOKUP($AC38,IntAWS[],HLOOKUP("KABC Scaler",IntAWS[],2,FALSE),FALSE),"Data Error")</f>
        <v>Data Error</v>
      </c>
      <c r="AE38" s="43">
        <f t="shared" si="3"/>
        <v>0</v>
      </c>
      <c r="AF38" s="42" t="e">
        <f>$Z38*
(VLOOKUP(AC38,IntAWS[],HLOOKUP("Intercept",IntAWS[],2,FALSE),FALSE))*
($N38^VLOOKUP(AC38,IntAWS[],HLOOKUP("Minor AADT",IntAWS[],2,FALSE),FALSE))*
($M38^VLOOKUP(AC38,IntAWS[],HLOOKUP("Major AADT",IntAWS[],2,FALSE),FALSE))</f>
        <v>#N/A</v>
      </c>
      <c r="AG38" s="42" t="e">
        <f>((1/(1+VLOOKUP(AC38,IntAWS[],HLOOKUP("Dispersion Parameter",IntAWS[],2,FALSE),FALSE)*AF38))*AF38
+(1-1/(1+VLOOKUP(AC38,IntAWS[],HLOOKUP("Dispersion Parameter",IntAWS[],2,FALSE),FALSE)*AF38))*AE38)</f>
        <v>#N/A</v>
      </c>
      <c r="AH38" s="43">
        <f t="shared" si="4"/>
        <v>0</v>
      </c>
      <c r="AI38" s="42" t="str">
        <f t="shared" si="5"/>
        <v>Data Error</v>
      </c>
      <c r="AJ38" s="42" t="e">
        <f>((1/(1+VLOOKUP(AC38,IntAWS[],HLOOKUP("Dispersion Parameter",IntAWS[],2,FALSE),FALSE)*AI38))*AI38
+(1-1/(1+VLOOKUP(AC38,IntAWS[],HLOOKUP("Dispersion Parameter",IntAWS[],2,FALSE),FALSE)*AI38))*AH38)</f>
        <v>#N/A</v>
      </c>
      <c r="AK38" s="60">
        <f t="shared" si="6"/>
        <v>0</v>
      </c>
      <c r="AL38" s="60" t="str">
        <f t="shared" si="19"/>
        <v>Missing Data</v>
      </c>
      <c r="AM38" s="42" t="str">
        <f t="shared" si="20"/>
        <v>Missing Data</v>
      </c>
      <c r="AN38" s="60" t="str">
        <f t="shared" si="21"/>
        <v>Missing Data</v>
      </c>
      <c r="AO38" s="42" t="str">
        <f t="shared" si="22"/>
        <v>Missing Data</v>
      </c>
      <c r="AP38" s="43">
        <f t="shared" si="11"/>
        <v>0</v>
      </c>
      <c r="AQ38" s="43">
        <f t="shared" si="12"/>
        <v>0</v>
      </c>
      <c r="AR38" s="60" t="str">
        <f t="shared" si="18"/>
        <v>Missing Data</v>
      </c>
      <c r="AS38" s="106"/>
      <c r="AT38" s="106"/>
      <c r="AU38" s="42" t="e">
        <f>VLOOKUP(AC38,IntAWS[],HLOOKUP("Dispersion Parameter",IntAWS[],2,FALSE),FALSE)</f>
        <v>#N/A</v>
      </c>
      <c r="AV38" s="42" t="e">
        <f>VLOOKUP($AC38,IntAWS[],HLOOKUP("Dispersion Parameter",IntAWS[],2,FALSE),FALSE)</f>
        <v>#N/A</v>
      </c>
      <c r="AW38" s="42" t="e">
        <f t="shared" si="23"/>
        <v>#N/A</v>
      </c>
      <c r="AX38" s="42" t="e">
        <f t="shared" si="24"/>
        <v>#N/A</v>
      </c>
      <c r="AY38" s="42" t="e">
        <f t="shared" si="25"/>
        <v>#N/A</v>
      </c>
      <c r="AZ38" s="42" t="e">
        <f t="shared" si="26"/>
        <v>#VALUE!</v>
      </c>
    </row>
    <row r="39" spans="1:52" x14ac:dyDescent="0.3">
      <c r="A39" s="109"/>
      <c r="B39" s="60"/>
      <c r="C39" s="60"/>
      <c r="D39" s="101"/>
      <c r="E39" s="60"/>
      <c r="F39" s="60"/>
      <c r="G39" s="43"/>
      <c r="H39" s="109"/>
      <c r="I39" s="109"/>
      <c r="J39" s="60"/>
      <c r="K39" s="60"/>
      <c r="L39" s="60"/>
      <c r="M39" s="60"/>
      <c r="N39" s="60"/>
      <c r="O39" s="60"/>
      <c r="P39" s="60"/>
      <c r="Q39" s="43"/>
      <c r="R39" s="43"/>
      <c r="S39" s="43"/>
      <c r="T39" s="43"/>
      <c r="U39" s="43"/>
      <c r="V39" s="43"/>
      <c r="W39" s="43"/>
      <c r="X39" s="43"/>
      <c r="Y39" s="60" t="str">
        <f t="shared" si="0"/>
        <v/>
      </c>
      <c r="Z39" s="43">
        <f t="shared" si="15"/>
        <v>5</v>
      </c>
      <c r="AA39" s="60" t="str">
        <f t="shared" si="1"/>
        <v>Other</v>
      </c>
      <c r="AB39" s="91" t="e">
        <f>VLOOKUP(AC39,IntAWS[],HLOOKUP("AWS Name",IntAWS[],2,FALSE),FALSE)</f>
        <v>#N/A</v>
      </c>
      <c r="AC39" s="87" t="str">
        <f t="shared" si="2"/>
        <v>Data Error: Check AADTs</v>
      </c>
      <c r="AD39" s="108" t="str">
        <f>IFERROR(VLOOKUP($AC39,IntAWS[],HLOOKUP("KABC Scaler",IntAWS[],2,FALSE),FALSE),"Data Error")</f>
        <v>Data Error</v>
      </c>
      <c r="AE39" s="43">
        <f t="shared" si="3"/>
        <v>0</v>
      </c>
      <c r="AF39" s="42" t="e">
        <f>$Z39*
(VLOOKUP(AC39,IntAWS[],HLOOKUP("Intercept",IntAWS[],2,FALSE),FALSE))*
($N39^VLOOKUP(AC39,IntAWS[],HLOOKUP("Minor AADT",IntAWS[],2,FALSE),FALSE))*
($M39^VLOOKUP(AC39,IntAWS[],HLOOKUP("Major AADT",IntAWS[],2,FALSE),FALSE))</f>
        <v>#N/A</v>
      </c>
      <c r="AG39" s="42" t="e">
        <f>((1/(1+VLOOKUP(AC39,IntAWS[],HLOOKUP("Dispersion Parameter",IntAWS[],2,FALSE),FALSE)*AF39))*AF39
+(1-1/(1+VLOOKUP(AC39,IntAWS[],HLOOKUP("Dispersion Parameter",IntAWS[],2,FALSE),FALSE)*AF39))*AE39)</f>
        <v>#N/A</v>
      </c>
      <c r="AH39" s="43">
        <f t="shared" si="4"/>
        <v>0</v>
      </c>
      <c r="AI39" s="42" t="str">
        <f t="shared" si="5"/>
        <v>Data Error</v>
      </c>
      <c r="AJ39" s="42" t="e">
        <f>((1/(1+VLOOKUP(AC39,IntAWS[],HLOOKUP("Dispersion Parameter",IntAWS[],2,FALSE),FALSE)*AI39))*AI39
+(1-1/(1+VLOOKUP(AC39,IntAWS[],HLOOKUP("Dispersion Parameter",IntAWS[],2,FALSE),FALSE)*AI39))*AH39)</f>
        <v>#N/A</v>
      </c>
      <c r="AK39" s="60">
        <f t="shared" si="6"/>
        <v>0</v>
      </c>
      <c r="AL39" s="60" t="str">
        <f t="shared" ref="AL39" si="59">IFERROR(IF(AG39&lt;_xlfn.GAMMA.INV($AW$4,AW39,AX39),"LOSS 1",
IF(AG39&lt;AF39,"LOSS 2",
IF(AG39&lt;_xlfn.GAMMA.INV($AY$4,AW39,AX39),"LOSS 3",
IF(AG39&gt;=_xlfn.GAMMA.INV($AY$4,AW39,AX39),"LOSS 4","Error")))),"Missing Data")</f>
        <v>Missing Data</v>
      </c>
      <c r="AM39" s="42" t="str">
        <f t="shared" ref="AM39" si="60">IFERROR(AG39-AF39,"Missing Data")</f>
        <v>Missing Data</v>
      </c>
      <c r="AN39" s="60" t="str">
        <f t="shared" ref="AN39" si="61">IFERROR(IF(AJ39&lt;_xlfn.GAMMA.INV($AX$4,AY39,AZ39),"LOSS 1",
IF(AJ39&lt;AI39,"LOSS 2",
IF(AJ39&lt;_xlfn.GAMMA.INV($AZ$4,AY39,AZ39),"LOSS 3",
IF(AJ39&gt;=_xlfn.GAMMA.INV($AZ$4,AY39,AZ39),"LOSS 4","Error")))),"Missing Data")</f>
        <v>Missing Data</v>
      </c>
      <c r="AO39" s="42" t="str">
        <f t="shared" ref="AO39" si="62">IFERROR(AJ39-AI39,"Missing Data")</f>
        <v>Missing Data</v>
      </c>
      <c r="AP39" s="43">
        <f t="shared" si="11"/>
        <v>0</v>
      </c>
      <c r="AQ39" s="43">
        <f t="shared" si="12"/>
        <v>0</v>
      </c>
      <c r="AR39" s="60" t="str">
        <f t="shared" si="18"/>
        <v>Missing Data</v>
      </c>
      <c r="AS39" s="106"/>
      <c r="AT39" s="106"/>
      <c r="AU39" s="42" t="e">
        <f>VLOOKUP(AC39,IntAWS[],HLOOKUP("Dispersion Parameter",IntAWS[],2,FALSE),FALSE)</f>
        <v>#N/A</v>
      </c>
      <c r="AV39" s="42" t="e">
        <f>VLOOKUP($AC39,IntAWS[],HLOOKUP("Dispersion Parameter",IntAWS[],2,FALSE),FALSE)</f>
        <v>#N/A</v>
      </c>
      <c r="AW39" s="42" t="e">
        <f t="shared" ref="AW39" si="63">1/AU39</f>
        <v>#N/A</v>
      </c>
      <c r="AX39" s="42" t="e">
        <f t="shared" ref="AX39" si="64">AF39/AW39</f>
        <v>#N/A</v>
      </c>
      <c r="AY39" s="42" t="e">
        <f t="shared" ref="AY39" si="65">1/AV39</f>
        <v>#N/A</v>
      </c>
      <c r="AZ39" s="42" t="e">
        <f t="shared" ref="AZ39" si="66">AI39/AY39</f>
        <v>#VALUE!</v>
      </c>
    </row>
    <row r="40" spans="1:52" x14ac:dyDescent="0.3">
      <c r="A40" s="109"/>
      <c r="B40" s="60"/>
      <c r="C40" s="60"/>
      <c r="D40" s="101"/>
      <c r="E40" s="60"/>
      <c r="F40" s="60"/>
      <c r="G40" s="43"/>
      <c r="H40" s="109"/>
      <c r="I40" s="109"/>
      <c r="J40" s="60"/>
      <c r="K40" s="60"/>
      <c r="L40" s="60"/>
      <c r="M40" s="60"/>
      <c r="N40" s="60"/>
      <c r="O40" s="60"/>
      <c r="P40" s="60"/>
      <c r="Q40" s="43"/>
      <c r="R40" s="43"/>
      <c r="S40" s="43"/>
      <c r="T40" s="43"/>
      <c r="U40" s="43"/>
      <c r="V40" s="43"/>
      <c r="W40" s="43"/>
      <c r="X40" s="43"/>
      <c r="Y40" s="60" t="str">
        <f t="shared" ref="Y40:Y44" si="67">SUBSTITUTE(SUBSTITUTE(SUBSTITUTE(P40,CHAR(34),""),"[", ""),"]", "")</f>
        <v/>
      </c>
      <c r="Z40" s="43">
        <f t="shared" si="15"/>
        <v>5</v>
      </c>
      <c r="AA40" s="60" t="str">
        <f t="shared" si="1"/>
        <v>Other</v>
      </c>
      <c r="AB40" s="91" t="e">
        <f>VLOOKUP(AC40,IntAWS[],HLOOKUP("AWS Name",IntAWS[],2,FALSE),FALSE)</f>
        <v>#N/A</v>
      </c>
      <c r="AC40" s="87" t="str">
        <f t="shared" si="2"/>
        <v>Data Error: Check AADTs</v>
      </c>
      <c r="AD40" s="108" t="str">
        <f>IFERROR(VLOOKUP($AC40,IntAWS[],HLOOKUP("KABC Scaler",IntAWS[],2,FALSE),FALSE),"Data Error")</f>
        <v>Data Error</v>
      </c>
      <c r="AE40" s="43">
        <f t="shared" si="3"/>
        <v>0</v>
      </c>
      <c r="AF40" s="42" t="e">
        <f>$Z40*
(VLOOKUP(AC40,IntAWS[],HLOOKUP("Intercept",IntAWS[],2,FALSE),FALSE))*
($N40^VLOOKUP(AC40,IntAWS[],HLOOKUP("Minor AADT",IntAWS[],2,FALSE),FALSE))*
($M40^VLOOKUP(AC40,IntAWS[],HLOOKUP("Major AADT",IntAWS[],2,FALSE),FALSE))</f>
        <v>#N/A</v>
      </c>
      <c r="AG40" s="42" t="e">
        <f>((1/(1+VLOOKUP(AC40,IntAWS[],HLOOKUP("Dispersion Parameter",IntAWS[],2,FALSE),FALSE)*AF40))*AF40
+(1-1/(1+VLOOKUP(AC40,IntAWS[],HLOOKUP("Dispersion Parameter",IntAWS[],2,FALSE),FALSE)*AF40))*AE40)</f>
        <v>#N/A</v>
      </c>
      <c r="AH40" s="43">
        <f t="shared" si="4"/>
        <v>0</v>
      </c>
      <c r="AI40" s="42" t="str">
        <f t="shared" si="5"/>
        <v>Data Error</v>
      </c>
      <c r="AJ40" s="42" t="e">
        <f>((1/(1+VLOOKUP(AC40,IntAWS[],HLOOKUP("Dispersion Parameter",IntAWS[],2,FALSE),FALSE)*AI40))*AI40
+(1-1/(1+VLOOKUP(AC40,IntAWS[],HLOOKUP("Dispersion Parameter",IntAWS[],2,FALSE),FALSE)*AI40))*AH40)</f>
        <v>#N/A</v>
      </c>
      <c r="AK40" s="60">
        <f t="shared" si="6"/>
        <v>0</v>
      </c>
      <c r="AL40" s="60" t="str">
        <f t="shared" ref="AL40:AL44" si="68">IFERROR(IF(AG40&lt;_xlfn.GAMMA.INV($AW$4,AW40,AX40),"LOSS 1",
IF(AG40&lt;AF40,"LOSS 2",
IF(AG40&lt;_xlfn.GAMMA.INV($AY$4,AW40,AX40),"LOSS 3",
IF(AG40&gt;=_xlfn.GAMMA.INV($AY$4,AW40,AX40),"LOSS 4","Error")))),"Missing Data")</f>
        <v>Missing Data</v>
      </c>
      <c r="AM40" s="42" t="str">
        <f t="shared" ref="AM40:AM44" si="69">IFERROR(AG40-AF40,"Missing Data")</f>
        <v>Missing Data</v>
      </c>
      <c r="AN40" s="60" t="str">
        <f t="shared" ref="AN40:AN44" si="70">IFERROR(IF(AJ40&lt;_xlfn.GAMMA.INV($AX$4,AY40,AZ40),"LOSS 1",
IF(AJ40&lt;AI40,"LOSS 2",
IF(AJ40&lt;_xlfn.GAMMA.INV($AZ$4,AY40,AZ40),"LOSS 3",
IF(AJ40&gt;=_xlfn.GAMMA.INV($AZ$4,AY40,AZ40),"LOSS 4","Error")))),"Missing Data")</f>
        <v>Missing Data</v>
      </c>
      <c r="AO40" s="42" t="str">
        <f t="shared" ref="AO40:AO44" si="71">IFERROR(AJ40-AI40,"Missing Data")</f>
        <v>Missing Data</v>
      </c>
      <c r="AP40" s="43">
        <f t="shared" si="11"/>
        <v>0</v>
      </c>
      <c r="AQ40" s="43">
        <f t="shared" si="12"/>
        <v>0</v>
      </c>
      <c r="AR40" s="60" t="str">
        <f t="shared" si="18"/>
        <v>Missing Data</v>
      </c>
      <c r="AS40" s="106"/>
      <c r="AT40" s="106"/>
      <c r="AU40" s="42" t="e">
        <f>VLOOKUP(AC40,IntAWS[],HLOOKUP("Dispersion Parameter",IntAWS[],2,FALSE),FALSE)</f>
        <v>#N/A</v>
      </c>
      <c r="AV40" s="42" t="e">
        <f>VLOOKUP($AC40,IntAWS[],HLOOKUP("Dispersion Parameter",IntAWS[],2,FALSE),FALSE)</f>
        <v>#N/A</v>
      </c>
      <c r="AW40" s="42" t="e">
        <f t="shared" ref="AW40:AW44" si="72">1/AU40</f>
        <v>#N/A</v>
      </c>
      <c r="AX40" s="42" t="e">
        <f t="shared" ref="AX40:AX44" si="73">AF40/AW40</f>
        <v>#N/A</v>
      </c>
      <c r="AY40" s="42" t="e">
        <f t="shared" ref="AY40:AY44" si="74">1/AV40</f>
        <v>#N/A</v>
      </c>
      <c r="AZ40" s="42" t="e">
        <f t="shared" ref="AZ40:AZ44" si="75">AI40/AY40</f>
        <v>#VALUE!</v>
      </c>
    </row>
    <row r="41" spans="1:52" x14ac:dyDescent="0.3">
      <c r="A41" s="109"/>
      <c r="B41" s="60"/>
      <c r="C41" s="60"/>
      <c r="D41" s="101"/>
      <c r="E41" s="60"/>
      <c r="F41" s="60"/>
      <c r="G41" s="43"/>
      <c r="H41" s="109"/>
      <c r="I41" s="109"/>
      <c r="J41" s="60"/>
      <c r="K41" s="60"/>
      <c r="L41" s="60"/>
      <c r="M41" s="60"/>
      <c r="N41" s="60"/>
      <c r="O41" s="60"/>
      <c r="P41" s="60"/>
      <c r="Q41" s="43"/>
      <c r="R41" s="43"/>
      <c r="S41" s="43"/>
      <c r="T41" s="43"/>
      <c r="U41" s="43"/>
      <c r="V41" s="43"/>
      <c r="W41" s="43"/>
      <c r="X41" s="43"/>
      <c r="Y41" s="60" t="str">
        <f t="shared" si="67"/>
        <v/>
      </c>
      <c r="Z41" s="43">
        <f t="shared" si="15"/>
        <v>5</v>
      </c>
      <c r="AA41" s="60" t="str">
        <f t="shared" si="1"/>
        <v>Other</v>
      </c>
      <c r="AB41" s="91" t="e">
        <f>VLOOKUP(AC41,IntAWS[],HLOOKUP("AWS Name",IntAWS[],2,FALSE),FALSE)</f>
        <v>#N/A</v>
      </c>
      <c r="AC41" s="87" t="str">
        <f t="shared" si="2"/>
        <v>Data Error: Check AADTs</v>
      </c>
      <c r="AD41" s="108" t="str">
        <f>IFERROR(VLOOKUP($AC41,IntAWS[],HLOOKUP("KABC Scaler",IntAWS[],2,FALSE),FALSE),"Data Error")</f>
        <v>Data Error</v>
      </c>
      <c r="AE41" s="43">
        <f t="shared" si="3"/>
        <v>0</v>
      </c>
      <c r="AF41" s="42" t="e">
        <f>$Z41*
(VLOOKUP(AC41,IntAWS[],HLOOKUP("Intercept",IntAWS[],2,FALSE),FALSE))*
($N41^VLOOKUP(AC41,IntAWS[],HLOOKUP("Minor AADT",IntAWS[],2,FALSE),FALSE))*
($M41^VLOOKUP(AC41,IntAWS[],HLOOKUP("Major AADT",IntAWS[],2,FALSE),FALSE))</f>
        <v>#N/A</v>
      </c>
      <c r="AG41" s="42" t="e">
        <f>((1/(1+VLOOKUP(AC41,IntAWS[],HLOOKUP("Dispersion Parameter",IntAWS[],2,FALSE),FALSE)*AF41))*AF41
+(1-1/(1+VLOOKUP(AC41,IntAWS[],HLOOKUP("Dispersion Parameter",IntAWS[],2,FALSE),FALSE)*AF41))*AE41)</f>
        <v>#N/A</v>
      </c>
      <c r="AH41" s="43">
        <f t="shared" si="4"/>
        <v>0</v>
      </c>
      <c r="AI41" s="42" t="str">
        <f t="shared" si="5"/>
        <v>Data Error</v>
      </c>
      <c r="AJ41" s="42" t="e">
        <f>((1/(1+VLOOKUP(AC41,IntAWS[],HLOOKUP("Dispersion Parameter",IntAWS[],2,FALSE),FALSE)*AI41))*AI41
+(1-1/(1+VLOOKUP(AC41,IntAWS[],HLOOKUP("Dispersion Parameter",IntAWS[],2,FALSE),FALSE)*AI41))*AH41)</f>
        <v>#N/A</v>
      </c>
      <c r="AK41" s="60">
        <f t="shared" si="6"/>
        <v>0</v>
      </c>
      <c r="AL41" s="60" t="str">
        <f t="shared" si="68"/>
        <v>Missing Data</v>
      </c>
      <c r="AM41" s="42" t="str">
        <f t="shared" si="69"/>
        <v>Missing Data</v>
      </c>
      <c r="AN41" s="60" t="str">
        <f t="shared" si="70"/>
        <v>Missing Data</v>
      </c>
      <c r="AO41" s="42" t="str">
        <f t="shared" si="71"/>
        <v>Missing Data</v>
      </c>
      <c r="AP41" s="43">
        <f t="shared" si="11"/>
        <v>0</v>
      </c>
      <c r="AQ41" s="43">
        <f t="shared" si="12"/>
        <v>0</v>
      </c>
      <c r="AR41" s="60" t="str">
        <f t="shared" si="18"/>
        <v>Missing Data</v>
      </c>
      <c r="AS41" s="106"/>
      <c r="AT41" s="106"/>
      <c r="AU41" s="42" t="e">
        <f>VLOOKUP(AC41,IntAWS[],HLOOKUP("Dispersion Parameter",IntAWS[],2,FALSE),FALSE)</f>
        <v>#N/A</v>
      </c>
      <c r="AV41" s="42" t="e">
        <f>VLOOKUP($AC41,IntAWS[],HLOOKUP("Dispersion Parameter",IntAWS[],2,FALSE),FALSE)</f>
        <v>#N/A</v>
      </c>
      <c r="AW41" s="42" t="e">
        <f t="shared" si="72"/>
        <v>#N/A</v>
      </c>
      <c r="AX41" s="42" t="e">
        <f t="shared" si="73"/>
        <v>#N/A</v>
      </c>
      <c r="AY41" s="42" t="e">
        <f t="shared" si="74"/>
        <v>#N/A</v>
      </c>
      <c r="AZ41" s="42" t="e">
        <f t="shared" si="75"/>
        <v>#VALUE!</v>
      </c>
    </row>
    <row r="42" spans="1:52" x14ac:dyDescent="0.3">
      <c r="A42" s="109"/>
      <c r="B42" s="60"/>
      <c r="C42" s="60"/>
      <c r="D42" s="101"/>
      <c r="E42" s="60"/>
      <c r="F42" s="60"/>
      <c r="G42" s="43"/>
      <c r="H42" s="109"/>
      <c r="I42" s="109"/>
      <c r="J42" s="60"/>
      <c r="K42" s="60"/>
      <c r="L42" s="60"/>
      <c r="M42" s="60"/>
      <c r="N42" s="60"/>
      <c r="O42" s="60"/>
      <c r="P42" s="60"/>
      <c r="Q42" s="43"/>
      <c r="R42" s="43"/>
      <c r="S42" s="43"/>
      <c r="T42" s="43"/>
      <c r="U42" s="43"/>
      <c r="V42" s="43"/>
      <c r="W42" s="43"/>
      <c r="X42" s="43"/>
      <c r="Y42" s="60" t="str">
        <f t="shared" si="67"/>
        <v/>
      </c>
      <c r="Z42" s="43">
        <f t="shared" si="15"/>
        <v>5</v>
      </c>
      <c r="AA42" s="60" t="str">
        <f t="shared" si="1"/>
        <v>Other</v>
      </c>
      <c r="AB42" s="91" t="e">
        <f>VLOOKUP(AC42,IntAWS[],HLOOKUP("AWS Name",IntAWS[],2,FALSE),FALSE)</f>
        <v>#N/A</v>
      </c>
      <c r="AC42" s="87" t="str">
        <f t="shared" si="2"/>
        <v>Data Error: Check AADTs</v>
      </c>
      <c r="AD42" s="108" t="str">
        <f>IFERROR(VLOOKUP($AC42,IntAWS[],HLOOKUP("KABC Scaler",IntAWS[],2,FALSE),FALSE),"Data Error")</f>
        <v>Data Error</v>
      </c>
      <c r="AE42" s="43">
        <f t="shared" si="3"/>
        <v>0</v>
      </c>
      <c r="AF42" s="42" t="e">
        <f>$Z42*
(VLOOKUP(AC42,IntAWS[],HLOOKUP("Intercept",IntAWS[],2,FALSE),FALSE))*
($N42^VLOOKUP(AC42,IntAWS[],HLOOKUP("Minor AADT",IntAWS[],2,FALSE),FALSE))*
($M42^VLOOKUP(AC42,IntAWS[],HLOOKUP("Major AADT",IntAWS[],2,FALSE),FALSE))</f>
        <v>#N/A</v>
      </c>
      <c r="AG42" s="42" t="e">
        <f>((1/(1+VLOOKUP(AC42,IntAWS[],HLOOKUP("Dispersion Parameter",IntAWS[],2,FALSE),FALSE)*AF42))*AF42
+(1-1/(1+VLOOKUP(AC42,IntAWS[],HLOOKUP("Dispersion Parameter",IntAWS[],2,FALSE),FALSE)*AF42))*AE42)</f>
        <v>#N/A</v>
      </c>
      <c r="AH42" s="43">
        <f t="shared" si="4"/>
        <v>0</v>
      </c>
      <c r="AI42" s="42" t="str">
        <f t="shared" si="5"/>
        <v>Data Error</v>
      </c>
      <c r="AJ42" s="42" t="e">
        <f>((1/(1+VLOOKUP(AC42,IntAWS[],HLOOKUP("Dispersion Parameter",IntAWS[],2,FALSE),FALSE)*AI42))*AI42
+(1-1/(1+VLOOKUP(AC42,IntAWS[],HLOOKUP("Dispersion Parameter",IntAWS[],2,FALSE),FALSE)*AI42))*AH42)</f>
        <v>#N/A</v>
      </c>
      <c r="AK42" s="60">
        <f t="shared" si="6"/>
        <v>0</v>
      </c>
      <c r="AL42" s="60" t="str">
        <f t="shared" si="68"/>
        <v>Missing Data</v>
      </c>
      <c r="AM42" s="42" t="str">
        <f t="shared" si="69"/>
        <v>Missing Data</v>
      </c>
      <c r="AN42" s="60" t="str">
        <f t="shared" si="70"/>
        <v>Missing Data</v>
      </c>
      <c r="AO42" s="42" t="str">
        <f t="shared" si="71"/>
        <v>Missing Data</v>
      </c>
      <c r="AP42" s="43">
        <f t="shared" si="11"/>
        <v>0</v>
      </c>
      <c r="AQ42" s="43">
        <f t="shared" si="12"/>
        <v>0</v>
      </c>
      <c r="AR42" s="60" t="str">
        <f t="shared" si="18"/>
        <v>Missing Data</v>
      </c>
      <c r="AS42" s="106"/>
      <c r="AT42" s="106"/>
      <c r="AU42" s="42" t="e">
        <f>VLOOKUP(AC42,IntAWS[],HLOOKUP("Dispersion Parameter",IntAWS[],2,FALSE),FALSE)</f>
        <v>#N/A</v>
      </c>
      <c r="AV42" s="42" t="e">
        <f>VLOOKUP($AC42,IntAWS[],HLOOKUP("Dispersion Parameter",IntAWS[],2,FALSE),FALSE)</f>
        <v>#N/A</v>
      </c>
      <c r="AW42" s="42" t="e">
        <f t="shared" si="72"/>
        <v>#N/A</v>
      </c>
      <c r="AX42" s="42" t="e">
        <f t="shared" si="73"/>
        <v>#N/A</v>
      </c>
      <c r="AY42" s="42" t="e">
        <f t="shared" si="74"/>
        <v>#N/A</v>
      </c>
      <c r="AZ42" s="42" t="e">
        <f t="shared" si="75"/>
        <v>#VALUE!</v>
      </c>
    </row>
    <row r="43" spans="1:52" x14ac:dyDescent="0.3">
      <c r="A43" s="109"/>
      <c r="B43" s="60"/>
      <c r="C43" s="60"/>
      <c r="D43" s="101"/>
      <c r="E43" s="60"/>
      <c r="F43" s="60"/>
      <c r="G43" s="43"/>
      <c r="H43" s="109"/>
      <c r="I43" s="109"/>
      <c r="J43" s="60"/>
      <c r="K43" s="60"/>
      <c r="L43" s="60"/>
      <c r="M43" s="60"/>
      <c r="N43" s="60"/>
      <c r="O43" s="60"/>
      <c r="P43" s="60"/>
      <c r="Q43" s="43"/>
      <c r="R43" s="43"/>
      <c r="S43" s="43"/>
      <c r="T43" s="43"/>
      <c r="U43" s="43"/>
      <c r="V43" s="43"/>
      <c r="W43" s="43"/>
      <c r="X43" s="43"/>
      <c r="Y43" s="60" t="str">
        <f t="shared" si="67"/>
        <v/>
      </c>
      <c r="Z43" s="43">
        <f t="shared" si="15"/>
        <v>5</v>
      </c>
      <c r="AA43" s="60" t="str">
        <f t="shared" si="1"/>
        <v>Other</v>
      </c>
      <c r="AB43" s="91" t="e">
        <f>VLOOKUP(AC43,IntAWS[],HLOOKUP("AWS Name",IntAWS[],2,FALSE),FALSE)</f>
        <v>#N/A</v>
      </c>
      <c r="AC43" s="87" t="str">
        <f t="shared" si="2"/>
        <v>Data Error: Check AADTs</v>
      </c>
      <c r="AD43" s="108" t="str">
        <f>IFERROR(VLOOKUP($AC43,IntAWS[],HLOOKUP("KABC Scaler",IntAWS[],2,FALSE),FALSE),"Data Error")</f>
        <v>Data Error</v>
      </c>
      <c r="AE43" s="43">
        <f t="shared" si="3"/>
        <v>0</v>
      </c>
      <c r="AF43" s="42" t="e">
        <f>$Z43*
(VLOOKUP(AC43,IntAWS[],HLOOKUP("Intercept",IntAWS[],2,FALSE),FALSE))*
($N43^VLOOKUP(AC43,IntAWS[],HLOOKUP("Minor AADT",IntAWS[],2,FALSE),FALSE))*
($M43^VLOOKUP(AC43,IntAWS[],HLOOKUP("Major AADT",IntAWS[],2,FALSE),FALSE))</f>
        <v>#N/A</v>
      </c>
      <c r="AG43" s="42" t="e">
        <f>((1/(1+VLOOKUP(AC43,IntAWS[],HLOOKUP("Dispersion Parameter",IntAWS[],2,FALSE),FALSE)*AF43))*AF43
+(1-1/(1+VLOOKUP(AC43,IntAWS[],HLOOKUP("Dispersion Parameter",IntAWS[],2,FALSE),FALSE)*AF43))*AE43)</f>
        <v>#N/A</v>
      </c>
      <c r="AH43" s="43">
        <f t="shared" si="4"/>
        <v>0</v>
      </c>
      <c r="AI43" s="42" t="str">
        <f t="shared" si="5"/>
        <v>Data Error</v>
      </c>
      <c r="AJ43" s="42" t="e">
        <f>((1/(1+VLOOKUP(AC43,IntAWS[],HLOOKUP("Dispersion Parameter",IntAWS[],2,FALSE),FALSE)*AI43))*AI43
+(1-1/(1+VLOOKUP(AC43,IntAWS[],HLOOKUP("Dispersion Parameter",IntAWS[],2,FALSE),FALSE)*AI43))*AH43)</f>
        <v>#N/A</v>
      </c>
      <c r="AK43" s="60">
        <f t="shared" si="6"/>
        <v>0</v>
      </c>
      <c r="AL43" s="60" t="str">
        <f t="shared" si="68"/>
        <v>Missing Data</v>
      </c>
      <c r="AM43" s="42" t="str">
        <f t="shared" si="69"/>
        <v>Missing Data</v>
      </c>
      <c r="AN43" s="60" t="str">
        <f t="shared" si="70"/>
        <v>Missing Data</v>
      </c>
      <c r="AO43" s="42" t="str">
        <f t="shared" si="71"/>
        <v>Missing Data</v>
      </c>
      <c r="AP43" s="43">
        <f t="shared" si="11"/>
        <v>0</v>
      </c>
      <c r="AQ43" s="43">
        <f t="shared" si="12"/>
        <v>0</v>
      </c>
      <c r="AR43" s="60" t="str">
        <f t="shared" si="18"/>
        <v>Missing Data</v>
      </c>
      <c r="AS43" s="106"/>
      <c r="AT43" s="106"/>
      <c r="AU43" s="42" t="e">
        <f>VLOOKUP(AC43,IntAWS[],HLOOKUP("Dispersion Parameter",IntAWS[],2,FALSE),FALSE)</f>
        <v>#N/A</v>
      </c>
      <c r="AV43" s="42" t="e">
        <f>VLOOKUP($AC43,IntAWS[],HLOOKUP("Dispersion Parameter",IntAWS[],2,FALSE),FALSE)</f>
        <v>#N/A</v>
      </c>
      <c r="AW43" s="42" t="e">
        <f t="shared" si="72"/>
        <v>#N/A</v>
      </c>
      <c r="AX43" s="42" t="e">
        <f t="shared" si="73"/>
        <v>#N/A</v>
      </c>
      <c r="AY43" s="42" t="e">
        <f t="shared" si="74"/>
        <v>#N/A</v>
      </c>
      <c r="AZ43" s="42" t="e">
        <f t="shared" si="75"/>
        <v>#VALUE!</v>
      </c>
    </row>
    <row r="44" spans="1:52" x14ac:dyDescent="0.3">
      <c r="A44" s="109"/>
      <c r="B44" s="60"/>
      <c r="C44" s="60"/>
      <c r="D44" s="101"/>
      <c r="E44" s="60"/>
      <c r="F44" s="60"/>
      <c r="G44" s="43"/>
      <c r="H44" s="109"/>
      <c r="I44" s="109"/>
      <c r="J44" s="60"/>
      <c r="K44" s="60"/>
      <c r="L44" s="60"/>
      <c r="M44" s="60"/>
      <c r="N44" s="60"/>
      <c r="O44" s="60"/>
      <c r="P44" s="60"/>
      <c r="Q44" s="43"/>
      <c r="R44" s="43"/>
      <c r="S44" s="43"/>
      <c r="T44" s="43"/>
      <c r="U44" s="43"/>
      <c r="V44" s="43"/>
      <c r="W44" s="43"/>
      <c r="X44" s="43"/>
      <c r="Y44" s="60" t="str">
        <f t="shared" si="67"/>
        <v/>
      </c>
      <c r="Z44" s="43">
        <f t="shared" si="15"/>
        <v>5</v>
      </c>
      <c r="AA44" s="60" t="str">
        <f t="shared" si="1"/>
        <v>Other</v>
      </c>
      <c r="AB44" s="91" t="e">
        <f>VLOOKUP(AC44,IntAWS[],HLOOKUP("AWS Name",IntAWS[],2,FALSE),FALSE)</f>
        <v>#N/A</v>
      </c>
      <c r="AC44" s="87" t="str">
        <f t="shared" si="2"/>
        <v>Data Error: Check AADTs</v>
      </c>
      <c r="AD44" s="108" t="str">
        <f>IFERROR(VLOOKUP($AC44,IntAWS[],HLOOKUP("KABC Scaler",IntAWS[],2,FALSE),FALSE),"Data Error")</f>
        <v>Data Error</v>
      </c>
      <c r="AE44" s="43">
        <f t="shared" si="3"/>
        <v>0</v>
      </c>
      <c r="AF44" s="42" t="e">
        <f>$Z44*
(VLOOKUP(AC44,IntAWS[],HLOOKUP("Intercept",IntAWS[],2,FALSE),FALSE))*
($N44^VLOOKUP(AC44,IntAWS[],HLOOKUP("Minor AADT",IntAWS[],2,FALSE),FALSE))*
($M44^VLOOKUP(AC44,IntAWS[],HLOOKUP("Major AADT",IntAWS[],2,FALSE),FALSE))</f>
        <v>#N/A</v>
      </c>
      <c r="AG44" s="42" t="e">
        <f>((1/(1+VLOOKUP(AC44,IntAWS[],HLOOKUP("Dispersion Parameter",IntAWS[],2,FALSE),FALSE)*AF44))*AF44
+(1-1/(1+VLOOKUP(AC44,IntAWS[],HLOOKUP("Dispersion Parameter",IntAWS[],2,FALSE),FALSE)*AF44))*AE44)</f>
        <v>#N/A</v>
      </c>
      <c r="AH44" s="43">
        <f t="shared" si="4"/>
        <v>0</v>
      </c>
      <c r="AI44" s="42" t="str">
        <f t="shared" si="5"/>
        <v>Data Error</v>
      </c>
      <c r="AJ44" s="42" t="e">
        <f>((1/(1+VLOOKUP(AC44,IntAWS[],HLOOKUP("Dispersion Parameter",IntAWS[],2,FALSE),FALSE)*AI44))*AI44
+(1-1/(1+VLOOKUP(AC44,IntAWS[],HLOOKUP("Dispersion Parameter",IntAWS[],2,FALSE),FALSE)*AI44))*AH44)</f>
        <v>#N/A</v>
      </c>
      <c r="AK44" s="60">
        <f t="shared" si="6"/>
        <v>0</v>
      </c>
      <c r="AL44" s="60" t="str">
        <f t="shared" si="68"/>
        <v>Missing Data</v>
      </c>
      <c r="AM44" s="42" t="str">
        <f t="shared" si="69"/>
        <v>Missing Data</v>
      </c>
      <c r="AN44" s="60" t="str">
        <f t="shared" si="70"/>
        <v>Missing Data</v>
      </c>
      <c r="AO44" s="42" t="str">
        <f t="shared" si="71"/>
        <v>Missing Data</v>
      </c>
      <c r="AP44" s="43">
        <f t="shared" si="11"/>
        <v>0</v>
      </c>
      <c r="AQ44" s="43">
        <f t="shared" si="12"/>
        <v>0</v>
      </c>
      <c r="AR44" s="60" t="str">
        <f t="shared" si="18"/>
        <v>Missing Data</v>
      </c>
      <c r="AS44" s="106"/>
      <c r="AT44" s="106"/>
      <c r="AU44" s="42" t="e">
        <f>VLOOKUP(AC44,IntAWS[],HLOOKUP("Dispersion Parameter",IntAWS[],2,FALSE),FALSE)</f>
        <v>#N/A</v>
      </c>
      <c r="AV44" s="42" t="e">
        <f>VLOOKUP($AC44,IntAWS[],HLOOKUP("Dispersion Parameter",IntAWS[],2,FALSE),FALSE)</f>
        <v>#N/A</v>
      </c>
      <c r="AW44" s="42" t="e">
        <f t="shared" si="72"/>
        <v>#N/A</v>
      </c>
      <c r="AX44" s="42" t="e">
        <f t="shared" si="73"/>
        <v>#N/A</v>
      </c>
      <c r="AY44" s="42" t="e">
        <f t="shared" si="74"/>
        <v>#N/A</v>
      </c>
      <c r="AZ44" s="42" t="e">
        <f t="shared" si="75"/>
        <v>#VALUE!</v>
      </c>
    </row>
    <row r="45" spans="1:52" x14ac:dyDescent="0.3">
      <c r="A45" s="110"/>
      <c r="B45" s="101"/>
      <c r="C45" s="101"/>
      <c r="D45" s="101"/>
      <c r="E45" s="60"/>
      <c r="F45" s="60"/>
      <c r="G45" s="43"/>
      <c r="H45" s="109"/>
      <c r="I45" s="110"/>
      <c r="J45" s="101"/>
      <c r="K45" s="101"/>
      <c r="L45" s="101"/>
      <c r="M45" s="101"/>
      <c r="N45" s="101"/>
      <c r="O45" s="101"/>
      <c r="P45" s="101"/>
      <c r="Q45" s="44"/>
      <c r="R45" s="44"/>
      <c r="S45" s="44"/>
      <c r="T45" s="44"/>
      <c r="U45" s="44"/>
      <c r="V45" s="44"/>
      <c r="W45" s="44"/>
      <c r="X45" s="44"/>
      <c r="Y45" s="101" t="str">
        <f t="shared" ref="Y45:Y47" si="76">SUBSTITUTE(SUBSTITUTE(SUBSTITUTE(P45,CHAR(34),""),"[", ""),"]", "")</f>
        <v/>
      </c>
      <c r="Z45" s="43">
        <f t="shared" si="15"/>
        <v>5</v>
      </c>
      <c r="AA45" s="101" t="str">
        <f t="shared" si="1"/>
        <v>Other</v>
      </c>
      <c r="AB45" s="85" t="e">
        <f>VLOOKUP(AC45,IntAWS[],HLOOKUP("AWS Name",IntAWS[],2,FALSE),FALSE)</f>
        <v>#N/A</v>
      </c>
      <c r="AC45" s="100" t="str">
        <f t="shared" si="2"/>
        <v>Data Error: Check AADTs</v>
      </c>
      <c r="AD45" s="111" t="str">
        <f>IFERROR(VLOOKUP($AC45,IntAWS[],HLOOKUP("KABC Scaler",IntAWS[],2,FALSE),FALSE),"Data Error")</f>
        <v>Data Error</v>
      </c>
      <c r="AE45" s="44">
        <f t="shared" si="3"/>
        <v>0</v>
      </c>
      <c r="AF45" s="41" t="e">
        <f>$Z45*
(VLOOKUP(AC45,IntAWS[],HLOOKUP("Intercept",IntAWS[],2,FALSE),FALSE))*
($N45^VLOOKUP(AC45,IntAWS[],HLOOKUP("Minor AADT",IntAWS[],2,FALSE),FALSE))*
($M45^VLOOKUP(AC45,IntAWS[],HLOOKUP("Major AADT",IntAWS[],2,FALSE),FALSE))</f>
        <v>#N/A</v>
      </c>
      <c r="AG45" s="41" t="e">
        <f>((1/(1+VLOOKUP(AC45,IntAWS[],HLOOKUP("Dispersion Parameter",IntAWS[],2,FALSE),FALSE)*AF45))*AF45
+(1-1/(1+VLOOKUP(AC45,IntAWS[],HLOOKUP("Dispersion Parameter",IntAWS[],2,FALSE),FALSE)*AF45))*AE45)</f>
        <v>#N/A</v>
      </c>
      <c r="AH45" s="44">
        <f t="shared" si="4"/>
        <v>0</v>
      </c>
      <c r="AI45" s="41" t="str">
        <f t="shared" si="5"/>
        <v>Data Error</v>
      </c>
      <c r="AJ45" s="41" t="e">
        <f>((1/(1+VLOOKUP(AC45,IntAWS[],HLOOKUP("Dispersion Parameter",IntAWS[],2,FALSE),FALSE)*AI45))*AI45
+(1-1/(1+VLOOKUP(AC45,IntAWS[],HLOOKUP("Dispersion Parameter",IntAWS[],2,FALSE),FALSE)*AI45))*AH45)</f>
        <v>#N/A</v>
      </c>
      <c r="AK45" s="101">
        <f t="shared" si="6"/>
        <v>0</v>
      </c>
      <c r="AL45" s="101" t="str">
        <f t="shared" ref="AL45:AL47" si="77">IFERROR(IF(AG45&lt;_xlfn.GAMMA.INV($AW$4,AW45,AX45),"LOSS 1",
IF(AG45&lt;AF45,"LOSS 2",
IF(AG45&lt;_xlfn.GAMMA.INV($AY$4,AW45,AX45),"LOSS 3",
IF(AG45&gt;=_xlfn.GAMMA.INV($AY$4,AW45,AX45),"LOSS 4","Error")))),"Missing Data")</f>
        <v>Missing Data</v>
      </c>
      <c r="AM45" s="41" t="str">
        <f t="shared" ref="AM45:AM47" si="78">IFERROR(AG45-AF45,"Missing Data")</f>
        <v>Missing Data</v>
      </c>
      <c r="AN45" s="101" t="str">
        <f t="shared" ref="AN45:AN47" si="79">IFERROR(IF(AJ45&lt;_xlfn.GAMMA.INV($AX$4,AY45,AZ45),"LOSS 1",
IF(AJ45&lt;AI45,"LOSS 2",
IF(AJ45&lt;_xlfn.GAMMA.INV($AZ$4,AY45,AZ45),"LOSS 3",
IF(AJ45&gt;=_xlfn.GAMMA.INV($AZ$4,AY45,AZ45),"LOSS 4","Error")))),"Missing Data")</f>
        <v>Missing Data</v>
      </c>
      <c r="AO45" s="41" t="str">
        <f t="shared" ref="AO45:AO47" si="80">IFERROR(AJ45-AI45,"Missing Data")</f>
        <v>Missing Data</v>
      </c>
      <c r="AP45" s="44">
        <f t="shared" si="11"/>
        <v>0</v>
      </c>
      <c r="AQ45" s="44">
        <f t="shared" si="12"/>
        <v>0</v>
      </c>
      <c r="AR45" s="101" t="str">
        <f t="shared" si="18"/>
        <v>Missing Data</v>
      </c>
      <c r="AS45" s="107"/>
      <c r="AT45" s="107"/>
      <c r="AU45" s="41" t="e">
        <f>VLOOKUP(AC45,IntAWS[],HLOOKUP("Dispersion Parameter",IntAWS[],2,FALSE),FALSE)</f>
        <v>#N/A</v>
      </c>
      <c r="AV45" s="41" t="e">
        <f>VLOOKUP($AC45,IntAWS[],HLOOKUP("Dispersion Parameter",IntAWS[],2,FALSE),FALSE)</f>
        <v>#N/A</v>
      </c>
      <c r="AW45" s="41" t="e">
        <f t="shared" ref="AW45:AW47" si="81">1/AU45</f>
        <v>#N/A</v>
      </c>
      <c r="AX45" s="41" t="e">
        <f t="shared" ref="AX45:AX47" si="82">AF45/AW45</f>
        <v>#N/A</v>
      </c>
      <c r="AY45" s="41" t="e">
        <f t="shared" ref="AY45:AY47" si="83">1/AV45</f>
        <v>#N/A</v>
      </c>
      <c r="AZ45" s="41" t="e">
        <f t="shared" ref="AZ45:AZ47" si="84">AI45/AY45</f>
        <v>#VALUE!</v>
      </c>
    </row>
    <row r="46" spans="1:52" x14ac:dyDescent="0.3">
      <c r="A46" s="110"/>
      <c r="B46" s="101"/>
      <c r="C46" s="101"/>
      <c r="D46" s="101"/>
      <c r="E46" s="60"/>
      <c r="F46" s="60"/>
      <c r="G46" s="43"/>
      <c r="H46" s="109"/>
      <c r="I46" s="110"/>
      <c r="J46" s="101"/>
      <c r="K46" s="101"/>
      <c r="L46" s="101"/>
      <c r="M46" s="101"/>
      <c r="N46" s="101"/>
      <c r="O46" s="101"/>
      <c r="P46" s="101"/>
      <c r="Q46" s="44"/>
      <c r="R46" s="44"/>
      <c r="S46" s="44"/>
      <c r="T46" s="44"/>
      <c r="U46" s="44"/>
      <c r="V46" s="44"/>
      <c r="W46" s="44"/>
      <c r="X46" s="44"/>
      <c r="Y46" s="101" t="str">
        <f t="shared" si="76"/>
        <v/>
      </c>
      <c r="Z46" s="43">
        <f t="shared" si="15"/>
        <v>5</v>
      </c>
      <c r="AA46" s="101" t="str">
        <f t="shared" si="1"/>
        <v>Other</v>
      </c>
      <c r="AB46" s="85" t="e">
        <f>VLOOKUP(AC46,IntAWS[],HLOOKUP("AWS Name",IntAWS[],2,FALSE),FALSE)</f>
        <v>#N/A</v>
      </c>
      <c r="AC46" s="100" t="str">
        <f t="shared" si="2"/>
        <v>Data Error: Check AADTs</v>
      </c>
      <c r="AD46" s="111" t="str">
        <f>IFERROR(VLOOKUP($AC46,IntAWS[],HLOOKUP("KABC Scaler",IntAWS[],2,FALSE),FALSE),"Data Error")</f>
        <v>Data Error</v>
      </c>
      <c r="AE46" s="44">
        <f t="shared" si="3"/>
        <v>0</v>
      </c>
      <c r="AF46" s="41" t="e">
        <f>$Z46*
(VLOOKUP(AC46,IntAWS[],HLOOKUP("Intercept",IntAWS[],2,FALSE),FALSE))*
($N46^VLOOKUP(AC46,IntAWS[],HLOOKUP("Minor AADT",IntAWS[],2,FALSE),FALSE))*
($M46^VLOOKUP(AC46,IntAWS[],HLOOKUP("Major AADT",IntAWS[],2,FALSE),FALSE))</f>
        <v>#N/A</v>
      </c>
      <c r="AG46" s="41" t="e">
        <f>((1/(1+VLOOKUP(AC46,IntAWS[],HLOOKUP("Dispersion Parameter",IntAWS[],2,FALSE),FALSE)*AF46))*AF46
+(1-1/(1+VLOOKUP(AC46,IntAWS[],HLOOKUP("Dispersion Parameter",IntAWS[],2,FALSE),FALSE)*AF46))*AE46)</f>
        <v>#N/A</v>
      </c>
      <c r="AH46" s="44">
        <f t="shared" si="4"/>
        <v>0</v>
      </c>
      <c r="AI46" s="41" t="str">
        <f t="shared" si="5"/>
        <v>Data Error</v>
      </c>
      <c r="AJ46" s="41" t="e">
        <f>((1/(1+VLOOKUP(AC46,IntAWS[],HLOOKUP("Dispersion Parameter",IntAWS[],2,FALSE),FALSE)*AI46))*AI46
+(1-1/(1+VLOOKUP(AC46,IntAWS[],HLOOKUP("Dispersion Parameter",IntAWS[],2,FALSE),FALSE)*AI46))*AH46)</f>
        <v>#N/A</v>
      </c>
      <c r="AK46" s="101">
        <f t="shared" si="6"/>
        <v>0</v>
      </c>
      <c r="AL46" s="101" t="str">
        <f t="shared" si="77"/>
        <v>Missing Data</v>
      </c>
      <c r="AM46" s="41" t="str">
        <f t="shared" si="78"/>
        <v>Missing Data</v>
      </c>
      <c r="AN46" s="101" t="str">
        <f t="shared" si="79"/>
        <v>Missing Data</v>
      </c>
      <c r="AO46" s="41" t="str">
        <f t="shared" si="80"/>
        <v>Missing Data</v>
      </c>
      <c r="AP46" s="44">
        <f t="shared" si="11"/>
        <v>0</v>
      </c>
      <c r="AQ46" s="44">
        <f t="shared" si="12"/>
        <v>0</v>
      </c>
      <c r="AR46" s="101" t="str">
        <f t="shared" si="18"/>
        <v>Missing Data</v>
      </c>
      <c r="AS46" s="107"/>
      <c r="AT46" s="107"/>
      <c r="AU46" s="41" t="e">
        <f>VLOOKUP(AC46,IntAWS[],HLOOKUP("Dispersion Parameter",IntAWS[],2,FALSE),FALSE)</f>
        <v>#N/A</v>
      </c>
      <c r="AV46" s="41" t="e">
        <f>VLOOKUP($AC46,IntAWS[],HLOOKUP("Dispersion Parameter",IntAWS[],2,FALSE),FALSE)</f>
        <v>#N/A</v>
      </c>
      <c r="AW46" s="41" t="e">
        <f t="shared" si="81"/>
        <v>#N/A</v>
      </c>
      <c r="AX46" s="41" t="e">
        <f t="shared" si="82"/>
        <v>#N/A</v>
      </c>
      <c r="AY46" s="41" t="e">
        <f t="shared" si="83"/>
        <v>#N/A</v>
      </c>
      <c r="AZ46" s="41" t="e">
        <f t="shared" si="84"/>
        <v>#VALUE!</v>
      </c>
    </row>
    <row r="47" spans="1:52" x14ac:dyDescent="0.3">
      <c r="A47" s="110"/>
      <c r="B47" s="101"/>
      <c r="C47" s="101"/>
      <c r="D47" s="101"/>
      <c r="E47" s="60"/>
      <c r="F47" s="60"/>
      <c r="G47" s="43"/>
      <c r="H47" s="109"/>
      <c r="I47" s="110"/>
      <c r="J47" s="101"/>
      <c r="K47" s="101"/>
      <c r="L47" s="101"/>
      <c r="M47" s="101"/>
      <c r="N47" s="101"/>
      <c r="O47" s="101"/>
      <c r="P47" s="101"/>
      <c r="Q47" s="44"/>
      <c r="R47" s="44"/>
      <c r="S47" s="44"/>
      <c r="T47" s="44"/>
      <c r="U47" s="44"/>
      <c r="V47" s="44"/>
      <c r="W47" s="44"/>
      <c r="X47" s="44"/>
      <c r="Y47" s="101" t="str">
        <f t="shared" si="76"/>
        <v/>
      </c>
      <c r="Z47" s="43">
        <f t="shared" si="15"/>
        <v>5</v>
      </c>
      <c r="AA47" s="101" t="str">
        <f t="shared" si="1"/>
        <v>Other</v>
      </c>
      <c r="AB47" s="85" t="e">
        <f>VLOOKUP(AC47,IntAWS[],HLOOKUP("AWS Name",IntAWS[],2,FALSE),FALSE)</f>
        <v>#N/A</v>
      </c>
      <c r="AC47" s="100" t="str">
        <f t="shared" si="2"/>
        <v>Data Error: Check AADTs</v>
      </c>
      <c r="AD47" s="111" t="str">
        <f>IFERROR(VLOOKUP($AC47,IntAWS[],HLOOKUP("KABC Scaler",IntAWS[],2,FALSE),FALSE),"Data Error")</f>
        <v>Data Error</v>
      </c>
      <c r="AE47" s="44">
        <f t="shared" si="3"/>
        <v>0</v>
      </c>
      <c r="AF47" s="41" t="e">
        <f>$Z47*
(VLOOKUP(AC47,IntAWS[],HLOOKUP("Intercept",IntAWS[],2,FALSE),FALSE))*
($N47^VLOOKUP(AC47,IntAWS[],HLOOKUP("Minor AADT",IntAWS[],2,FALSE),FALSE))*
($M47^VLOOKUP(AC47,IntAWS[],HLOOKUP("Major AADT",IntAWS[],2,FALSE),FALSE))</f>
        <v>#N/A</v>
      </c>
      <c r="AG47" s="41" t="e">
        <f>((1/(1+VLOOKUP(AC47,IntAWS[],HLOOKUP("Dispersion Parameter",IntAWS[],2,FALSE),FALSE)*AF47))*AF47
+(1-1/(1+VLOOKUP(AC47,IntAWS[],HLOOKUP("Dispersion Parameter",IntAWS[],2,FALSE),FALSE)*AF47))*AE47)</f>
        <v>#N/A</v>
      </c>
      <c r="AH47" s="44">
        <f t="shared" si="4"/>
        <v>0</v>
      </c>
      <c r="AI47" s="41" t="str">
        <f t="shared" si="5"/>
        <v>Data Error</v>
      </c>
      <c r="AJ47" s="41" t="e">
        <f>((1/(1+VLOOKUP(AC47,IntAWS[],HLOOKUP("Dispersion Parameter",IntAWS[],2,FALSE),FALSE)*AI47))*AI47
+(1-1/(1+VLOOKUP(AC47,IntAWS[],HLOOKUP("Dispersion Parameter",IntAWS[],2,FALSE),FALSE)*AI47))*AH47)</f>
        <v>#N/A</v>
      </c>
      <c r="AK47" s="101">
        <f t="shared" si="6"/>
        <v>0</v>
      </c>
      <c r="AL47" s="101" t="str">
        <f t="shared" si="77"/>
        <v>Missing Data</v>
      </c>
      <c r="AM47" s="41" t="str">
        <f t="shared" si="78"/>
        <v>Missing Data</v>
      </c>
      <c r="AN47" s="101" t="str">
        <f t="shared" si="79"/>
        <v>Missing Data</v>
      </c>
      <c r="AO47" s="41" t="str">
        <f t="shared" si="80"/>
        <v>Missing Data</v>
      </c>
      <c r="AP47" s="44">
        <f t="shared" si="11"/>
        <v>0</v>
      </c>
      <c r="AQ47" s="44">
        <f t="shared" si="12"/>
        <v>0</v>
      </c>
      <c r="AR47" s="101" t="str">
        <f t="shared" si="18"/>
        <v>Missing Data</v>
      </c>
      <c r="AS47" s="107"/>
      <c r="AT47" s="107"/>
      <c r="AU47" s="41" t="e">
        <f>VLOOKUP(AC47,IntAWS[],HLOOKUP("Dispersion Parameter",IntAWS[],2,FALSE),FALSE)</f>
        <v>#N/A</v>
      </c>
      <c r="AV47" s="41" t="e">
        <f>VLOOKUP($AC47,IntAWS[],HLOOKUP("Dispersion Parameter",IntAWS[],2,FALSE),FALSE)</f>
        <v>#N/A</v>
      </c>
      <c r="AW47" s="41" t="e">
        <f t="shared" si="81"/>
        <v>#N/A</v>
      </c>
      <c r="AX47" s="41" t="e">
        <f t="shared" si="82"/>
        <v>#N/A</v>
      </c>
      <c r="AY47" s="41" t="e">
        <f t="shared" si="83"/>
        <v>#N/A</v>
      </c>
      <c r="AZ47" s="41" t="e">
        <f t="shared" si="84"/>
        <v>#VALUE!</v>
      </c>
    </row>
  </sheetData>
  <mergeCells count="1">
    <mergeCell ref="AU4:AV4"/>
  </mergeCells>
  <phoneticPr fontId="9" type="noConversion"/>
  <dataValidations count="9">
    <dataValidation type="list" allowBlank="1" showInputMessage="1" showErrorMessage="1" sqref="C6:C47" xr:uid="{C59244D0-8127-4BCB-ABE8-1AF23E1D3044}">
      <formula1>County</formula1>
    </dataValidation>
    <dataValidation type="list" allowBlank="1" showInputMessage="1" showErrorMessage="1" sqref="B6:B47" xr:uid="{0F4FE253-5708-4968-BB36-C57A9A97E2B0}">
      <formula1>Region</formula1>
    </dataValidation>
    <dataValidation type="list" allowBlank="1" showInputMessage="1" showErrorMessage="1" sqref="D6:D47" xr:uid="{19BAF355-9586-494C-A3D5-C9D302F69896}">
      <formula1>INT_Roadway</formula1>
    </dataValidation>
    <dataValidation type="list" allowBlank="1" showInputMessage="1" showErrorMessage="1" sqref="E6:E47" xr:uid="{A1943191-7138-444E-8ACA-3DB1C69CC628}">
      <formula1>Area_Type</formula1>
    </dataValidation>
    <dataValidation type="list" allowBlank="1" showInputMessage="1" showErrorMessage="1" sqref="F6:F47 J6:J47 L6:L47" xr:uid="{17F4D2FA-DC74-4C86-B9E5-23AFE028BD31}">
      <formula1>TRUE_FALSE</formula1>
    </dataValidation>
    <dataValidation type="list" allowBlank="1" showInputMessage="1" showErrorMessage="1" sqref="G6:G47" xr:uid="{F18AFDDD-9594-49AA-AF96-F979CC5E92F8}">
      <formula1>Legs</formula1>
    </dataValidation>
    <dataValidation type="list" allowBlank="1" showInputMessage="1" showErrorMessage="1" sqref="H6:H47" xr:uid="{F2EF6908-01FF-483D-9D68-5F22332F2BA8}">
      <formula1>Control</formula1>
    </dataValidation>
    <dataValidation type="list" allowBlank="1" showInputMessage="1" showErrorMessage="1" sqref="I6:I47" xr:uid="{2F801934-631C-4DD7-BCF8-307343B70B43}">
      <formula1>IX_Type</formula1>
    </dataValidation>
    <dataValidation type="list" allowBlank="1" showInputMessage="1" showErrorMessage="1" sqref="K6:K47" xr:uid="{15FFA92C-37A8-424B-96DA-AA5F0B6096A6}">
      <formula1>RAB_Type</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AC0C1-49CA-4AE2-845E-151485B1E973}">
  <dimension ref="A1:BS79"/>
  <sheetViews>
    <sheetView zoomScale="80" zoomScaleNormal="80" workbookViewId="0">
      <pane ySplit="5" topLeftCell="A6" activePane="bottomLeft" state="frozen"/>
      <selection pane="bottomLeft" activeCell="A6" sqref="A6"/>
    </sheetView>
  </sheetViews>
  <sheetFormatPr defaultRowHeight="15.6" outlineLevelCol="1" x14ac:dyDescent="0.3"/>
  <cols>
    <col min="1" max="1" width="15.19921875" customWidth="1"/>
    <col min="2" max="3" width="11.19921875" customWidth="1"/>
    <col min="4" max="4" width="11.8984375" customWidth="1"/>
    <col min="5" max="5" width="9.5" customWidth="1"/>
    <col min="6" max="6" width="13.8984375" customWidth="1"/>
    <col min="7" max="7" width="12.5" customWidth="1"/>
    <col min="8" max="8" width="17.59765625" bestFit="1" customWidth="1"/>
    <col min="9" max="9" width="9.5" customWidth="1"/>
    <col min="10" max="10" width="11.59765625" customWidth="1"/>
    <col min="11" max="12" width="9.5" style="3" customWidth="1"/>
    <col min="13" max="13" width="13.3984375" customWidth="1"/>
    <col min="14" max="14" width="11.3984375" customWidth="1"/>
    <col min="15" max="16" width="13.5" customWidth="1"/>
    <col min="17" max="22" width="11.19921875" customWidth="1"/>
    <col min="23" max="23" width="13.8984375" customWidth="1"/>
    <col min="24" max="24" width="11.3984375" customWidth="1"/>
    <col min="25" max="25" width="68.09765625" bestFit="1" customWidth="1"/>
    <col min="26" max="26" width="35.5" bestFit="1" customWidth="1"/>
    <col min="27" max="27" width="18.8984375" customWidth="1"/>
    <col min="28" max="28" width="10.8984375" customWidth="1"/>
    <col min="29" max="29" width="10.69921875" customWidth="1"/>
    <col min="30" max="30" width="13.5" customWidth="1"/>
    <col min="31" max="31" width="10.8984375" customWidth="1"/>
    <col min="32" max="32" width="10.69921875" customWidth="1"/>
    <col min="33" max="38" width="13.5" customWidth="1"/>
    <col min="39" max="40" width="12.5" customWidth="1"/>
    <col min="41" max="43" width="13.5" customWidth="1"/>
    <col min="44" max="45" width="9.3984375" hidden="1" customWidth="1" outlineLevel="1"/>
    <col min="46" max="49" width="8.69921875" hidden="1" customWidth="1" outlineLevel="1"/>
    <col min="50" max="50" width="9" collapsed="1"/>
  </cols>
  <sheetData>
    <row r="1" spans="1:71" ht="31.2" x14ac:dyDescent="0.6">
      <c r="A1" s="10" t="s">
        <v>164</v>
      </c>
      <c r="B1" s="10"/>
      <c r="C1" s="10"/>
      <c r="D1" s="10"/>
      <c r="E1" s="10"/>
      <c r="F1" s="10"/>
      <c r="G1" s="10"/>
      <c r="H1" s="10"/>
      <c r="I1" s="10"/>
      <c r="J1" s="10"/>
      <c r="K1" s="17"/>
      <c r="L1" s="17"/>
      <c r="M1" s="10"/>
      <c r="N1" s="10"/>
      <c r="O1" s="10"/>
      <c r="P1" s="10"/>
      <c r="Q1" s="10"/>
      <c r="R1" s="10"/>
      <c r="S1" s="10"/>
      <c r="T1" s="10"/>
      <c r="U1" s="10"/>
      <c r="V1" s="10"/>
      <c r="W1" s="10"/>
      <c r="X1" s="10"/>
      <c r="Y1" s="10"/>
      <c r="Z1" s="10"/>
      <c r="AA1" s="10"/>
      <c r="AB1" s="11"/>
      <c r="AC1" s="11"/>
      <c r="AD1" s="10"/>
      <c r="AE1" s="10"/>
      <c r="AF1" s="10"/>
      <c r="AG1" s="10"/>
      <c r="AH1" s="10"/>
      <c r="AI1" s="10"/>
      <c r="AJ1" s="10"/>
      <c r="AK1" s="10"/>
      <c r="AL1" s="10"/>
      <c r="AM1" s="10"/>
      <c r="AN1" s="10"/>
      <c r="AO1" s="10"/>
      <c r="AP1" s="10"/>
      <c r="AQ1" s="10"/>
      <c r="AR1" s="10"/>
      <c r="AS1" s="10"/>
      <c r="AT1" s="10"/>
      <c r="AU1" s="10"/>
      <c r="AV1" s="10"/>
      <c r="AW1" s="10"/>
      <c r="AX1" s="6"/>
      <c r="AY1" s="6"/>
      <c r="AZ1" s="6"/>
      <c r="BA1" s="6"/>
      <c r="BB1" s="6"/>
      <c r="BC1" s="6"/>
      <c r="BD1" s="6"/>
      <c r="BE1" s="6"/>
      <c r="BF1" s="6"/>
      <c r="BG1" s="6"/>
      <c r="BH1" s="6"/>
      <c r="BI1" s="6"/>
      <c r="BJ1" s="6"/>
      <c r="BK1" s="6"/>
      <c r="BL1" s="6"/>
      <c r="BM1" s="6"/>
      <c r="BN1" s="6"/>
      <c r="BO1" s="6"/>
      <c r="BP1" s="6"/>
      <c r="BQ1" s="6"/>
      <c r="BR1" s="6"/>
      <c r="BS1" s="6"/>
    </row>
    <row r="2" spans="1:71" s="67" customFormat="1" x14ac:dyDescent="0.3">
      <c r="A2" s="61" t="s">
        <v>34</v>
      </c>
      <c r="B2" s="62">
        <v>45915</v>
      </c>
      <c r="C2" s="62"/>
      <c r="D2" s="64"/>
      <c r="E2" s="64"/>
      <c r="F2" s="64"/>
      <c r="G2" s="64"/>
      <c r="H2" s="64"/>
      <c r="I2" s="64"/>
      <c r="J2" s="64"/>
      <c r="K2" s="64"/>
      <c r="L2" s="64"/>
      <c r="M2" s="64"/>
      <c r="N2" s="64"/>
      <c r="O2" s="63"/>
      <c r="P2" s="63"/>
      <c r="Q2" s="64"/>
      <c r="R2" s="64"/>
      <c r="S2" s="64"/>
      <c r="T2" s="64"/>
      <c r="U2" s="64"/>
      <c r="V2" s="64"/>
      <c r="W2" s="64"/>
      <c r="X2" s="64"/>
      <c r="Y2" s="63"/>
      <c r="Z2" s="63"/>
      <c r="AA2" s="63"/>
      <c r="AB2" s="65"/>
      <c r="AC2" s="63"/>
      <c r="AD2" s="63"/>
      <c r="AE2" s="63"/>
      <c r="AF2" s="63"/>
      <c r="AG2" s="63"/>
      <c r="AH2" s="63"/>
      <c r="AI2" s="63"/>
      <c r="AJ2" s="63"/>
      <c r="AK2" s="63"/>
      <c r="AL2" s="63"/>
      <c r="AM2" s="63"/>
      <c r="AN2" s="63"/>
      <c r="AO2" s="63"/>
      <c r="AP2" s="63"/>
      <c r="AQ2" s="63"/>
      <c r="AR2" s="66"/>
      <c r="AS2" s="66"/>
      <c r="AT2" s="66"/>
      <c r="AU2" s="66"/>
      <c r="AV2" s="66"/>
      <c r="AW2" s="66"/>
      <c r="AX2" s="63"/>
      <c r="AY2" s="63"/>
      <c r="AZ2" s="63"/>
      <c r="BA2" s="63"/>
      <c r="BB2" s="63"/>
      <c r="BC2" s="63"/>
      <c r="BD2" s="63"/>
      <c r="BE2" s="63"/>
      <c r="BF2" s="63"/>
      <c r="BG2" s="63"/>
      <c r="BH2" s="63"/>
      <c r="BI2" s="63"/>
      <c r="BJ2" s="63"/>
      <c r="BK2" s="63"/>
      <c r="BL2" s="63"/>
      <c r="BM2" s="63"/>
      <c r="BN2" s="63"/>
      <c r="BO2" s="63"/>
      <c r="BP2" s="63"/>
      <c r="BQ2" s="63"/>
      <c r="BR2" s="63"/>
      <c r="BS2" s="63"/>
    </row>
    <row r="3" spans="1:71" ht="26.25" customHeight="1" x14ac:dyDescent="0.3">
      <c r="A3" s="77" t="s">
        <v>174</v>
      </c>
      <c r="B3" s="79"/>
      <c r="C3" s="79"/>
      <c r="D3" s="78"/>
      <c r="E3" s="79"/>
      <c r="F3" s="79"/>
      <c r="G3" s="79"/>
      <c r="H3" s="79"/>
      <c r="I3" s="79"/>
      <c r="J3" s="79"/>
      <c r="K3" s="79"/>
      <c r="L3" s="79"/>
      <c r="M3" s="79"/>
      <c r="N3" s="79"/>
      <c r="O3" s="79"/>
      <c r="P3" s="79"/>
      <c r="Q3" s="79"/>
      <c r="R3" s="79"/>
      <c r="S3" s="79"/>
      <c r="T3" s="79"/>
      <c r="U3" s="79"/>
      <c r="V3" s="79"/>
      <c r="W3" s="80" t="s">
        <v>189</v>
      </c>
      <c r="X3" s="80"/>
      <c r="Y3" s="80"/>
      <c r="Z3" s="80"/>
      <c r="AA3" s="80"/>
      <c r="AB3" s="80"/>
      <c r="AC3" s="80"/>
      <c r="AD3" s="80"/>
      <c r="AE3" s="80"/>
      <c r="AF3" s="80"/>
      <c r="AG3" s="80"/>
      <c r="AH3" s="80"/>
      <c r="AI3" s="80"/>
      <c r="AJ3" s="80"/>
      <c r="AK3" s="80"/>
      <c r="AL3" s="80"/>
      <c r="AM3" s="80"/>
      <c r="AN3" s="80"/>
      <c r="AO3" s="80"/>
      <c r="AP3" s="80"/>
      <c r="AQ3" s="80"/>
      <c r="AR3" s="70" t="s">
        <v>193</v>
      </c>
      <c r="AS3" s="70"/>
      <c r="AT3" s="70"/>
      <c r="AU3" s="70"/>
      <c r="AV3" s="70"/>
      <c r="AW3" s="70"/>
      <c r="AX3" s="6"/>
      <c r="AY3" s="6"/>
      <c r="AZ3" s="6"/>
      <c r="BA3" s="6"/>
      <c r="BB3" s="6"/>
      <c r="BC3" s="6"/>
      <c r="BD3" s="6"/>
      <c r="BE3" s="6"/>
      <c r="BF3" s="6"/>
      <c r="BG3" s="6"/>
      <c r="BH3" s="6"/>
      <c r="BI3" s="6"/>
      <c r="BJ3" s="6"/>
      <c r="BK3" s="6"/>
      <c r="BL3" s="6"/>
      <c r="BM3" s="6"/>
      <c r="BN3" s="6"/>
      <c r="BO3" s="6"/>
      <c r="BP3" s="6"/>
      <c r="BQ3" s="6"/>
      <c r="BR3" s="6"/>
      <c r="BS3" s="6"/>
    </row>
    <row r="4" spans="1:71" s="12" customFormat="1" ht="45.75" customHeight="1" x14ac:dyDescent="0.3">
      <c r="A4" s="57" t="s">
        <v>191</v>
      </c>
      <c r="B4" s="57"/>
      <c r="C4" s="57"/>
      <c r="D4" s="57"/>
      <c r="E4" s="57"/>
      <c r="F4" s="57"/>
      <c r="G4" s="57"/>
      <c r="H4" s="57"/>
      <c r="I4" s="57"/>
      <c r="J4" s="57"/>
      <c r="K4" s="57"/>
      <c r="L4" s="57"/>
      <c r="M4" s="59" t="s">
        <v>187</v>
      </c>
      <c r="N4" s="59"/>
      <c r="O4" s="59"/>
      <c r="P4" s="59"/>
      <c r="Q4" s="59"/>
      <c r="R4" s="59"/>
      <c r="S4" s="59"/>
      <c r="T4" s="59"/>
      <c r="U4" s="59"/>
      <c r="V4" s="59"/>
      <c r="W4" s="72" t="s">
        <v>205</v>
      </c>
      <c r="X4" s="112">
        <v>5</v>
      </c>
      <c r="Y4" s="75" t="s">
        <v>40</v>
      </c>
      <c r="Z4" s="75"/>
      <c r="AA4" s="75"/>
      <c r="AB4" s="76" t="s">
        <v>188</v>
      </c>
      <c r="AC4" s="76"/>
      <c r="AD4" s="76"/>
      <c r="AE4" s="59" t="s">
        <v>175</v>
      </c>
      <c r="AF4" s="59"/>
      <c r="AG4" s="59"/>
      <c r="AH4" s="73" t="s">
        <v>176</v>
      </c>
      <c r="AI4" s="73"/>
      <c r="AJ4" s="73"/>
      <c r="AK4" s="73"/>
      <c r="AL4" s="73"/>
      <c r="AM4" s="73"/>
      <c r="AN4" s="73"/>
      <c r="AO4" s="73"/>
      <c r="AP4" s="73"/>
      <c r="AQ4" s="73"/>
      <c r="AR4" s="113" t="s">
        <v>8</v>
      </c>
      <c r="AS4" s="113"/>
      <c r="AT4" s="68">
        <v>0.2</v>
      </c>
      <c r="AU4" s="68">
        <v>0.2</v>
      </c>
      <c r="AV4" s="69">
        <v>0.9</v>
      </c>
      <c r="AW4" s="69">
        <v>0.75</v>
      </c>
      <c r="AX4" s="18"/>
      <c r="AY4" s="18"/>
      <c r="AZ4" s="18"/>
      <c r="BA4" s="18"/>
      <c r="BB4" s="18"/>
      <c r="BC4" s="18"/>
      <c r="BD4" s="18"/>
      <c r="BE4" s="18"/>
      <c r="BF4" s="18"/>
      <c r="BG4" s="18"/>
      <c r="BH4" s="18"/>
      <c r="BI4" s="18"/>
      <c r="BJ4" s="18"/>
      <c r="BK4" s="18"/>
      <c r="BL4" s="18"/>
      <c r="BM4" s="18"/>
      <c r="BN4" s="18"/>
      <c r="BO4" s="18"/>
      <c r="BP4" s="18"/>
      <c r="BQ4" s="18"/>
      <c r="BR4" s="18"/>
      <c r="BS4" s="18"/>
    </row>
    <row r="5" spans="1:71" s="7" customFormat="1" ht="54.6" thickBot="1" x14ac:dyDescent="0.35">
      <c r="A5" s="58" t="s">
        <v>442</v>
      </c>
      <c r="B5" s="58" t="s">
        <v>33</v>
      </c>
      <c r="C5" s="58" t="s">
        <v>51</v>
      </c>
      <c r="D5" s="58" t="s">
        <v>199</v>
      </c>
      <c r="E5" s="58" t="s">
        <v>10</v>
      </c>
      <c r="F5" s="58" t="s">
        <v>200</v>
      </c>
      <c r="G5" s="58" t="s">
        <v>201</v>
      </c>
      <c r="H5" s="58" t="s">
        <v>13</v>
      </c>
      <c r="I5" s="58" t="s">
        <v>28</v>
      </c>
      <c r="J5" s="58" t="s">
        <v>204</v>
      </c>
      <c r="K5" s="58" t="s">
        <v>166</v>
      </c>
      <c r="L5" s="58" t="s">
        <v>203</v>
      </c>
      <c r="M5" s="8" t="s">
        <v>202</v>
      </c>
      <c r="N5" s="8" t="s">
        <v>180</v>
      </c>
      <c r="O5" s="8" t="s">
        <v>172</v>
      </c>
      <c r="P5" s="8" t="s">
        <v>173</v>
      </c>
      <c r="Q5" s="8" t="s">
        <v>181</v>
      </c>
      <c r="R5" s="8" t="s">
        <v>182</v>
      </c>
      <c r="S5" s="8" t="s">
        <v>183</v>
      </c>
      <c r="T5" s="8" t="s">
        <v>184</v>
      </c>
      <c r="U5" s="8" t="s">
        <v>185</v>
      </c>
      <c r="V5" s="8" t="s">
        <v>186</v>
      </c>
      <c r="W5" s="71" t="s">
        <v>190</v>
      </c>
      <c r="X5" s="71" t="s">
        <v>206</v>
      </c>
      <c r="Y5" s="40" t="s">
        <v>9</v>
      </c>
      <c r="Z5" s="40" t="s">
        <v>339</v>
      </c>
      <c r="AA5" s="40" t="s">
        <v>341</v>
      </c>
      <c r="AB5" s="74" t="s">
        <v>41</v>
      </c>
      <c r="AC5" s="74" t="s">
        <v>42</v>
      </c>
      <c r="AD5" s="74" t="s">
        <v>62</v>
      </c>
      <c r="AE5" s="8" t="s">
        <v>44</v>
      </c>
      <c r="AF5" s="8" t="s">
        <v>45</v>
      </c>
      <c r="AG5" s="8" t="s">
        <v>63</v>
      </c>
      <c r="AH5" s="13" t="s">
        <v>338</v>
      </c>
      <c r="AI5" s="13" t="s">
        <v>43</v>
      </c>
      <c r="AJ5" s="13" t="s">
        <v>136</v>
      </c>
      <c r="AK5" s="13" t="s">
        <v>46</v>
      </c>
      <c r="AL5" s="13" t="s">
        <v>137</v>
      </c>
      <c r="AM5" s="13" t="s">
        <v>337</v>
      </c>
      <c r="AN5" s="13" t="s">
        <v>192</v>
      </c>
      <c r="AO5" s="13" t="s">
        <v>139</v>
      </c>
      <c r="AP5" s="13" t="s">
        <v>160</v>
      </c>
      <c r="AQ5" s="13" t="s">
        <v>159</v>
      </c>
      <c r="AR5" s="39" t="s">
        <v>29</v>
      </c>
      <c r="AS5" s="39" t="s">
        <v>30</v>
      </c>
      <c r="AT5" s="14" t="s">
        <v>195</v>
      </c>
      <c r="AU5" s="14" t="s">
        <v>194</v>
      </c>
      <c r="AV5" s="8" t="s">
        <v>196</v>
      </c>
      <c r="AW5" s="8" t="s">
        <v>197</v>
      </c>
      <c r="AX5" s="15"/>
      <c r="AY5" s="16"/>
      <c r="AZ5" s="16"/>
      <c r="BA5" s="16"/>
      <c r="BB5" s="16"/>
      <c r="BC5" s="16"/>
      <c r="BD5" s="16"/>
      <c r="BE5" s="16"/>
      <c r="BF5" s="16"/>
      <c r="BG5" s="16"/>
      <c r="BH5" s="16"/>
      <c r="BI5" s="16"/>
      <c r="BJ5" s="16"/>
      <c r="BK5" s="16"/>
      <c r="BL5" s="16"/>
      <c r="BM5" s="16"/>
      <c r="BN5" s="16"/>
      <c r="BO5" s="16"/>
      <c r="BP5" s="16"/>
      <c r="BQ5" s="16"/>
      <c r="BR5" s="16"/>
      <c r="BS5" s="16"/>
    </row>
    <row r="6" spans="1:71" s="45" customFormat="1" x14ac:dyDescent="0.3">
      <c r="A6" s="109"/>
      <c r="B6" s="105"/>
      <c r="C6" s="60"/>
      <c r="D6" s="105"/>
      <c r="E6" s="60"/>
      <c r="F6" s="60"/>
      <c r="G6" s="60"/>
      <c r="H6" s="60"/>
      <c r="I6" s="43"/>
      <c r="J6" s="42"/>
      <c r="K6" s="43"/>
      <c r="L6" s="60"/>
      <c r="M6" s="60"/>
      <c r="N6" s="60"/>
      <c r="O6" s="43"/>
      <c r="P6" s="43"/>
      <c r="Q6" s="43"/>
      <c r="R6" s="43"/>
      <c r="S6" s="43"/>
      <c r="T6" s="43"/>
      <c r="U6" s="43"/>
      <c r="V6" s="43"/>
      <c r="W6" s="60" t="str">
        <f t="shared" ref="W6:W41" si="0">SUBSTITUTE(SUBSTITUTE(SUBSTITUTE(N6,CHAR(34),""),"[", ""),"]", "")</f>
        <v/>
      </c>
      <c r="X6" s="43">
        <f t="shared" ref="X6:X41" si="1">$X$4</f>
        <v>5</v>
      </c>
      <c r="Y6" s="91" t="e">
        <f>VLOOKUP(Z6,SegAWS[],HLOOKUP("AWS Name",SegAWS[],2,FALSE),FALSE)</f>
        <v>#N/A</v>
      </c>
      <c r="Z6" s="91" t="str">
        <f>IF(OR($I6=0,$I6=""),"Data Error: Number of Lanes",
IF($D6="Local Road",
IF($E6="Rural",IF($F6="Non-Freeway",
IF($G6="Divided",IF(_xlfn.NUMBERVALUE($I6)&lt;3,IF(_xlfn.NUMBERVALUE($K6)&lt;1,"L_R_DataError",IF(_xlfn.NUMBERVALUE($K6)&lt;251,"L_R_Non_Divided_2Lane_0-250",IF(_xlfn.NUMBERVALUE($K6)&lt;401,"L_R_Non_Divided_2Lane_251-400",IF(_xlfn.NUMBERVALUE($K6)&lt;751,"L_R_Non_Divided_2Lane_401-750",IF(_xlfn.NUMBERVALUE($K6)&lt;1501,"L_R_Non_Divided_2Lane_751-1500",IF(_xlfn.NUMBERVALUE($K6)&lt;3501,"L_R_Non_Divided_2Lane_1501-3500","L_R_Non_Divided_2Lane_3501+")))))),"L_R_Non_Divided_3+Lane_0+"),
IF($G6="Undivided",IF(_xlfn.NUMBERVALUE($I6)&lt;3,IF(_xlfn.NUMBERVALUE($K6)&lt;1,"L_R_DataError",IF(_xlfn.NUMBERVALUE($K6)&lt;251,"L_R_Non_Undivided_2Lane_0-250",IF(_xlfn.NUMBERVALUE($K6)&lt;401,"L_R_Non_Undivided_2Lane_251-400",IF(_xlfn.NUMBERVALUE($K6)&lt;751,"L_R_Non_Undivided_2Lane_401-750",IF(_xlfn.NUMBERVALUE($K6)&lt;1501,"L_R_Non_Undivided_2Lane_751-1500",IF(_xlfn.NUMBERVALUE($K6)&lt;3501,"L_R_Non_Undivided_2Lane_1501-3500","L_R_Non_Undivided_2Lane_3501+")))))),"L_R_Non_Undivided_3+Lane_0+"),"Data Error: Divided/Undivided")),"Data Error: Freeway/Non-Freeway"),
IF($E6="Urban",IF($F6="Non-Freeway",
IF($G6="Divided",IF(_xlfn.NUMBERVALUE($I6)&lt;3,IF(_xlfn.NUMBERVALUE($K6)&lt;1,"L_U_DataError",IF(_xlfn.NUMBERVALUE($K6)&lt;251,"L_U_Non_Divided_2Lane_0-250",IF(_xlfn.NUMBERVALUE($K6)&lt;401,"L_U_Non_Divided_2Lane_251-400",IF(_xlfn.NUMBERVALUE($K6)&lt;751,"L_U_Non_Divided_2Lane_401-750",IF(_xlfn.NUMBERVALUE($K6)&lt;1501,"L_U_Non_Divided_2Lane_751-1500",IF(_xlfn.NUMBERVALUE($K6)&lt;3501,"L_U_Non_Divided_2Lane_1501-3500",IF(_xlfn.NUMBERVALUE($K6)&lt;7001,"L_U_Non_Divided_2Lane_3501-7000","L_U_Non_Divided_2Lane_7001+"))))))),"L_U_Non_Divided_3+Lane_0+"),
IF($G6="Undivided",IF(_xlfn.NUMBERVALUE($I6)&lt;3,IF(_xlfn.NUMBERVALUE($K6)&lt;1,"L_U_DataError",IF(_xlfn.NUMBERVALUE($K6)&lt;251,"L_U_Non_Undivided_2Lane_0-250",IF(_xlfn.NUMBERVALUE($K6)&lt;401,"L_U_Non_Undivided_2Lane_251-400",IF(_xlfn.NUMBERVALUE($K6)&lt;751,"L_U_Non_Undivided_2Lane_401-750",IF(_xlfn.NUMBERVALUE($K6)&lt;1501,"L_U_Non_Undivided_2Lane_751-1500",IF(_xlfn.NUMBERVALUE($K6)&lt;3501,"L_U_Non_Undivided_2Lane_1501-3500",IF(_xlfn.NUMBERVALUE($K6)&lt;7001,"L_U_Non_Undivided_2Lane_3501-7000","L_U_Non_Undivided_2Lane_7001+"))))))),"L_U_Non_Undivided_3+Lane_0+"),"Data Error: Divided/Undivided")),"Data Error: Freeway/Non-Freeway"),"Data Error: Area Type")),
IF($D6="State Highway",
IF($E6="Rural",
IF($F6="Non-Freeway",IF(_xlfn.NUMBERVALUE($K6)&lt;1,"S_R_Non_DataError",IF($H6="TWLTL","S_R_Non_TWLTL_1+Lanes_0+",
IF($G6="Divided",IF(_xlfn.NUMBERVALUE($I6)&lt;3,"S_R_Non_Divided_2Lane_0+",IF(_xlfn.NUMBERVALUE($I6)&lt;5,IF(_xlfn.NUMBERVALUE($K6)&lt;10001,"S_R_Non_Divided_4Lane_0-10000",IF(_xlfn.NUMBERVALUE($K6)&lt;17501,"S_R_Non_Divided_4Lane_10001-17500","S_R_Non_Divided_4Lane_17501+")),"S_R_Non_Divided_5+Lane_0+")),
IF($G6="Undivided",IF(_xlfn.NUMBERVALUE($I6)&lt;3,IF(_xlfn.NUMBERVALUE($K6)&lt;1501,"S_R_Non_Undivided_2Lane_0-1500",IF(_xlfn.NUMBERVALUE($K6)&lt;3501,"S_R_Non_Undivided_2Lane_1501-3500",IF(_xlfn.NUMBERVALUE($K6)&lt;7001,"S_R_Non_Undivided_2Lane_3501-7000","S_R_Non_Undivided_2Lane_7001+"))),"S_R_Non_Undivided_3+Lanes_0+"),"Data Error: Divided/Undivided")))),
IF($F6="Freeway",IF(_xlfn.NUMBERVALUE($K6)&lt;1,"S_R_Free_DataError",
IF($G6="Undivided","S_R_Free_Undivided_1+Lane_0+",
IF($G6="Divided",IF(_xlfn.NUMBERVALUE($I6)&lt;3,"S_R_Free_Divided_2Lane_501+",IF(_xlfn.NUMBERVALUE($I6)&lt;5,IF(_xlfn.NUMBERVALUE($K6)&lt;15001,"S_R_Free_Divided_4Lane_501-15000",IF(_xlfn.NUMBERVALUE($K6)&lt;30001,"S_R_Free_Divided_4Lane_15001-30000","S_R_Free_Divided_4Lane_30001+")),"S_R_Free_Divided_5+Lane_0+")),"Data Error: Divided/Undivided"))),"Data Error: Freeway/Non-Freeway")),
IF($E6="Urban",
IF($F6="Non-Freeway",IF(_xlfn.NUMBERVALUE($K6)&lt;1,"S_U_Non_DataError",IF($H6="TWLTL","S_U_Non_TWLTL_1+Lanes_0+",
IF($G6="Divided",IF(_xlfn.NUMBERVALUE($I6)&lt;3,"S_U_Non_Divided_2Lane_0+",IF(_xlfn.NUMBERVALUE($I6)&lt;5,IF(_xlfn.NUMBERVALUE($K6)&lt;8001,"S_U_Non_Divided_4Lane_0-8000",IF(_xlfn.NUMBERVALUE($K6)&lt;17501,"S_U_Non_Divided_4Lane_8001-17500",IF(_xlfn.NUMBERVALUE($K6)&lt;24001,"S_U_Non_Divided_4Lane_17501-24000","S_U_Non_Divided_4Lane_24001+"))),"S_U_Non_Divided_5+Lane_0+")),
IF($G6="Undivided",IF(_xlfn.NUMBERVALUE($I6)&lt;3,IF(_xlfn.NUMBERVALUE($K6)&lt;4501,"S_U_Non_Undivided_2Lane_0-4500",IF(_xlfn.NUMBERVALUE($K6)&lt;7001,"S_U_Non_Undivided_2Lane_4501-7000","S_U_Non_Undivided_2Lane_7001+")),"S_U_Non_Undivided_4Lane_0+"),"Data Error: Divided/Undivided")))),
IF($F6="Freeway",IF(_xlfn.NUMBERVALUE($K6)&lt;1,"S_U_Free_DataError",
IF($G6="Undivided","S_U_Free_Undivided_1+Lane_0+",
IF($G6="Divided",IF(_xlfn.NUMBERVALUE($I6)&lt;3,"S_U_Free_Divided_2Lane_501+",IF(_xlfn.NUMBERVALUE($I6)&lt;5,IF(_xlfn.NUMBERVALUE($K6)&lt;20001,"S_U_Free_Divided_4Lane_501-20000",IF(_xlfn.NUMBERVALUE($K6)&lt;35001,"S_U_Free_Divided_4Lane_20001-35000","S_U_Free_Divided_4Lane_35001+")),IF(_xlfn.NUMBERVALUE($I6)&lt;7,"S_U_Free_Divided_6Lane_0+","S_U_Free_Divided_7+Lane_0+"))),"Data Error: Divided/Undivided"))),"Data Error: Freeway/Non-Freeway")),"Data Error: Area Type")),"Data Error: Roadway System")))</f>
        <v>Data Error: Number of Lanes</v>
      </c>
      <c r="AA6" s="108" t="str">
        <f>IFERROR(VLOOKUP($Z6,SegAWS[],HLOOKUP("KABC Scaler",SegAWS[],2,FALSE),FALSE),"Data Error")</f>
        <v>Data Error</v>
      </c>
      <c r="AB6" s="43">
        <f t="shared" ref="AB6:AB32" si="2">SUM(Q6:V6)</f>
        <v>0</v>
      </c>
      <c r="AC6" s="42" t="str">
        <f>IF($J6="","Data Error: Segment Length",
IF(VLOOKUP($Z6,SegAWS[],HLOOKUP("Equation Form",SegAWS[],2,FALSE),FALSE)="Form 1",(((VLOOKUP($Z6,SegAWS[],HLOOKUP("Form 1 Num",SegAWS[],2,FALSE),FALSE))/(1 + EXP(-((VLOOKUP($Z6,SegAWS[],HLOOKUP("Form 1 Exp Coeff",SegAWS[],2,FALSE),FALSE))*($K6-(VLOOKUP($Z6,SegAWS[],HLOOKUP("Form 1 AADT Coeff",SegAWS[],2,FALSE),FALSE)))))))+(VLOOKUP($Z6,SegAWS[],HLOOKUP("Form 1 End Factor",SegAWS[],2,FALSE),FALSE)))*$X6*$J6,
IF(VLOOKUP($Z6,SegAWS[],HLOOKUP("Equation Form",SegAWS[],2,FALSE),FALSE)="Form 2",(EXP((VLOOKUP($Z6,SegAWS[],HLOOKUP("Form 2 Exp Coeff",SegAWS[],2,FALSE),FALSE)))*($K6^(VLOOKUP($Z6,SegAWS[],HLOOKUP("Form 2 AADT Coeff",SegAWS[],2,FALSE),FALSE))))*$X6*$J6,"Data Error: SPF Lookup Name")))</f>
        <v>Data Error: Segment Length</v>
      </c>
      <c r="AD6" s="42" t="e">
        <f>((1/(1+VLOOKUP($Z6,SegAWS[],HLOOKUP("Dispersion Parameter",SegAWS[],2,FALSE),FALSE)*AC6))*AC6
+(1-1/(1+VLOOKUP($Z6,SegAWS[],HLOOKUP("Dispersion Parameter",SegAWS[],2,FALSE),FALSE)*AC6))*AB6)</f>
        <v>#N/A</v>
      </c>
      <c r="AE6" s="43">
        <f t="shared" ref="AE6:AE32" si="3">SUM(Q6:T6)</f>
        <v>0</v>
      </c>
      <c r="AF6" s="42" t="e">
        <f>$AC6*$AA6</f>
        <v>#VALUE!</v>
      </c>
      <c r="AG6" s="42" t="e">
        <f>((1/(1+VLOOKUP($Z6,SegAWS[],HLOOKUP("Dispersion Parameter",SegAWS[],2,FALSE),FALSE)*AF6))*AF6
+(1-1/(1+VLOOKUP($Z6,SegAWS[],HLOOKUP("Dispersion Parameter",SegAWS[],2,FALSE),FALSE)*AF6))*AE6)</f>
        <v>#N/A</v>
      </c>
      <c r="AH6" s="60">
        <f t="shared" ref="AH6:AH41" si="4">A6</f>
        <v>0</v>
      </c>
      <c r="AI6" s="60" t="str">
        <f t="shared" ref="AI6:AI32" si="5">IFERROR(IF(AD6&lt;_xlfn.GAMMA.INV($AT$4,AT6,AU6),"LOSS 1",
IF(AD6&lt;AC6,"LOSS 2",
IF(AD6&lt;_xlfn.GAMMA.INV($AV$4,AT6,AU6),"LOSS 3",
IF(AD6&gt;=_xlfn.GAMMA.INV($AV$4,AT6,AU6),"LOSS 4","Error")))),"Missing Data")</f>
        <v>Missing Data</v>
      </c>
      <c r="AJ6" s="42" t="str">
        <f t="shared" ref="AJ6:AJ32" si="6">IFERROR(AD6-AC6,"Missing Data")</f>
        <v>Missing Data</v>
      </c>
      <c r="AK6" s="60" t="str">
        <f t="shared" ref="AK6:AK32" si="7">IFERROR(IF(AG6&lt;_xlfn.GAMMA.INV($AU$4,AV6,AW6),"LOSS 1",
IF(AG6&lt;AF6,"LOSS 2",
IF(AG6&lt;_xlfn.GAMMA.INV($AW$4,AV6,AW6),"LOSS 3",
IF(AG6&gt;=_xlfn.GAMMA.INV($AW$4,AV6,AW6),"LOSS 4","Error")))),"Missing Data")</f>
        <v>Missing Data</v>
      </c>
      <c r="AL6" s="42" t="str">
        <f t="shared" ref="AL6:AL32" si="8">IFERROR(AG6-AF6,"Missing Data")</f>
        <v>Missing Data</v>
      </c>
      <c r="AM6" s="43">
        <f t="shared" ref="AM6:AM32" si="9">O6</f>
        <v>0</v>
      </c>
      <c r="AN6" s="43">
        <f t="shared" ref="AN6:AN32" si="10">P6</f>
        <v>0</v>
      </c>
      <c r="AO6" s="60" t="str">
        <f t="shared" ref="AO6:AO73" si="11">IF(OR(AI6="Missing Data",AJ6="Missing Data",AK6="Missing Data",AL6="Missing Data"),"Missing Data",
IF(OR(AM6&gt;0,AN6&gt;0,AND(AB6&gt;1,OR(AI6="LOSS 4", AK6="LOSS 4"))),"Yes","No"))</f>
        <v>Missing Data</v>
      </c>
      <c r="AP6" s="106"/>
      <c r="AQ6" s="106"/>
      <c r="AR6" s="42" t="e">
        <f>VLOOKUP($Z6,SegAWS[],HLOOKUP("Dispersion Parameter",SegAWS[],2,FALSE),FALSE)</f>
        <v>#N/A</v>
      </c>
      <c r="AS6" s="42" t="e">
        <f>VLOOKUP($Z6,SegAWS[],HLOOKUP("Dispersion Parameter",SegAWS[],2,FALSE),FALSE)</f>
        <v>#N/A</v>
      </c>
      <c r="AT6" s="42" t="e">
        <f>1/AR6</f>
        <v>#N/A</v>
      </c>
      <c r="AU6" s="42" t="e">
        <f t="shared" ref="AU6:AU32" si="12">AC6/AT6</f>
        <v>#VALUE!</v>
      </c>
      <c r="AV6" s="42" t="e">
        <f>1/AS6</f>
        <v>#N/A</v>
      </c>
      <c r="AW6" s="42" t="e">
        <f t="shared" ref="AW6:AW32" si="13">AF6/AV6</f>
        <v>#VALUE!</v>
      </c>
      <c r="AX6" s="46"/>
      <c r="AY6" s="46"/>
      <c r="AZ6" s="46"/>
      <c r="BA6" s="46"/>
      <c r="BB6" s="46"/>
      <c r="BC6" s="46"/>
      <c r="BD6" s="46"/>
      <c r="BE6" s="46"/>
      <c r="BF6" s="46"/>
      <c r="BG6" s="46"/>
      <c r="BH6" s="46"/>
      <c r="BI6" s="46"/>
      <c r="BJ6" s="46"/>
      <c r="BK6" s="46"/>
      <c r="BL6" s="46"/>
      <c r="BM6" s="46"/>
      <c r="BN6" s="46"/>
      <c r="BO6" s="46"/>
      <c r="BP6" s="46"/>
      <c r="BQ6" s="46"/>
      <c r="BR6" s="46"/>
      <c r="BS6" s="46"/>
    </row>
    <row r="7" spans="1:71" x14ac:dyDescent="0.3">
      <c r="A7" s="109"/>
      <c r="B7" s="60"/>
      <c r="C7" s="60"/>
      <c r="D7" s="60"/>
      <c r="E7" s="60"/>
      <c r="F7" s="60"/>
      <c r="G7" s="60"/>
      <c r="H7" s="60"/>
      <c r="I7" s="43"/>
      <c r="J7" s="42"/>
      <c r="K7" s="43"/>
      <c r="L7" s="60"/>
      <c r="M7" s="60"/>
      <c r="N7" s="60"/>
      <c r="O7" s="43"/>
      <c r="P7" s="43"/>
      <c r="Q7" s="43"/>
      <c r="R7" s="43"/>
      <c r="S7" s="43"/>
      <c r="T7" s="43"/>
      <c r="U7" s="43"/>
      <c r="V7" s="43"/>
      <c r="W7" s="60" t="str">
        <f t="shared" si="0"/>
        <v/>
      </c>
      <c r="X7" s="43">
        <f t="shared" si="1"/>
        <v>5</v>
      </c>
      <c r="Y7" s="91" t="e">
        <f>VLOOKUP(Z7,SegAWS[],HLOOKUP("AWS Name",SegAWS[],2,FALSE),FALSE)</f>
        <v>#N/A</v>
      </c>
      <c r="Z7" s="91" t="str">
        <f t="shared" ref="Z7:Z41" si="14">IF(OR($I7=0,$I7=""),"Data Error: Number of Lanes",
IF($D7="Local Road",
IF($E7="Rural",IF($F7="Non-Freeway",
IF($G7="Divided",IF(_xlfn.NUMBERVALUE($I7)&lt;3,IF(_xlfn.NUMBERVALUE($K7)&lt;1,"L_R_DataError",IF(_xlfn.NUMBERVALUE($K7)&lt;251,"L_R_Non_Divided_2Lane_0-250",IF(_xlfn.NUMBERVALUE($K7)&lt;401,"L_R_Non_Divided_2Lane_251-400",IF(_xlfn.NUMBERVALUE($K7)&lt;751,"L_R_Non_Divided_2Lane_401-750",IF(_xlfn.NUMBERVALUE($K7)&lt;1501,"L_R_Non_Divided_2Lane_751-1500",IF(_xlfn.NUMBERVALUE($K7)&lt;3501,"L_R_Non_Divided_2Lane_1501-3500","L_R_Non_Divided_2Lane_3501+")))))),"L_R_Non_Divided_3+Lane_0+"),
IF($G7="Undivided",IF(_xlfn.NUMBERVALUE($I7)&lt;3,IF(_xlfn.NUMBERVALUE($K7)&lt;1,"L_R_DataError",IF(_xlfn.NUMBERVALUE($K7)&lt;251,"L_R_Non_Undivided_2Lane_0-250",IF(_xlfn.NUMBERVALUE($K7)&lt;401,"L_R_Non_Undivided_2Lane_251-400",IF(_xlfn.NUMBERVALUE($K7)&lt;751,"L_R_Non_Undivided_2Lane_401-750",IF(_xlfn.NUMBERVALUE($K7)&lt;1501,"L_R_Non_Undivided_2Lane_751-1500",IF(_xlfn.NUMBERVALUE($K7)&lt;3501,"L_R_Non_Undivided_2Lane_1501-3500","L_R_Non_Undivided_2Lane_3501+")))))),"L_R_Non_Undivided_3+Lane_0+"),"Data Error: Divided/Undivided")),"Data Error: Freeway/Non-Freeway"),
IF($E7="Urban",IF($F7="Non-Freeway",
IF($G7="Divided",IF(_xlfn.NUMBERVALUE($I7)&lt;3,IF(_xlfn.NUMBERVALUE($K7)&lt;1,"L_U_DataError",IF(_xlfn.NUMBERVALUE($K7)&lt;251,"L_U_Non_Divided_2Lane_0-250",IF(_xlfn.NUMBERVALUE($K7)&lt;401,"L_U_Non_Divided_2Lane_251-400",IF(_xlfn.NUMBERVALUE($K7)&lt;751,"L_U_Non_Divided_2Lane_401-750",IF(_xlfn.NUMBERVALUE($K7)&lt;1501,"L_U_Non_Divided_2Lane_751-1500",IF(_xlfn.NUMBERVALUE($K7)&lt;3501,"L_U_Non_Divided_2Lane_1501-3500",IF(_xlfn.NUMBERVALUE($K7)&lt;7001,"L_U_Non_Divided_2Lane_3501-7000","L_U_Non_Divided_2Lane_7001+"))))))),"L_U_Non_Divided_3+Lane_0+"),
IF($G7="Undivided",IF(_xlfn.NUMBERVALUE($I7)&lt;3,IF(_xlfn.NUMBERVALUE($K7)&lt;1,"L_U_DataError",IF(_xlfn.NUMBERVALUE($K7)&lt;251,"L_U_Non_Undivided_2Lane_0-250",IF(_xlfn.NUMBERVALUE($K7)&lt;401,"L_U_Non_Undivided_2Lane_251-400",IF(_xlfn.NUMBERVALUE($K7)&lt;751,"L_U_Non_Undivided_2Lane_401-750",IF(_xlfn.NUMBERVALUE($K7)&lt;1501,"L_U_Non_Undivided_2Lane_751-1500",IF(_xlfn.NUMBERVALUE($K7)&lt;3501,"L_U_Non_Undivided_2Lane_1501-3500",IF(_xlfn.NUMBERVALUE($K7)&lt;7001,"L_U_Non_Undivided_2Lane_3501-7000","L_U_Non_Undivided_2Lane_7001+"))))))),"L_U_Non_Undivided_3+Lane_0+"),"Data Error: Divided/Undivided")),"Data Error: Freeway/Non-Freeway"),"Data Error: Area Type")),
IF($D7="State Highway",
IF($E7="Rural",
IF($F7="Non-Freeway",IF(_xlfn.NUMBERVALUE($K7)&lt;1,"S_R_Non_DataError",IF($H7="TWLTL","S_R_Non_TWLTL_1+Lanes_0+",
IF($G7="Divided",IF(_xlfn.NUMBERVALUE($I7)&lt;3,"S_R_Non_Divided_2Lane_0+",IF(_xlfn.NUMBERVALUE($I7)&lt;5,IF(_xlfn.NUMBERVALUE($K7)&lt;10001,"S_R_Non_Divided_4Lane_0-10000",IF(_xlfn.NUMBERVALUE($K7)&lt;17501,"S_R_Non_Divided_4Lane_10001-17500","S_R_Non_Divided_4Lane_17501+")),"S_R_Non_Divided_5+Lane_0+")),
IF($G7="Undivided",IF(_xlfn.NUMBERVALUE($I7)&lt;3,IF(_xlfn.NUMBERVALUE($K7)&lt;1501,"S_R_Non_Undivided_2Lane_0-1500",IF(_xlfn.NUMBERVALUE($K7)&lt;3501,"S_R_Non_Undivided_2Lane_1501-3500",IF(_xlfn.NUMBERVALUE($K7)&lt;7001,"S_R_Non_Undivided_2Lane_3501-7000","S_R_Non_Undivided_2Lane_7001+"))),"S_R_Non_Undivided_3+Lanes_0+"),"Data Error: Divided/Undivided")))),
IF($F7="Freeway",IF(_xlfn.NUMBERVALUE($K7)&lt;1,"S_R_Free_DataError",
IF($G7="Undivided","S_R_Free_Undivided_1+Lane_0+",
IF($G7="Divided",IF(_xlfn.NUMBERVALUE($I7)&lt;3,"S_R_Free_Divided_2Lane_501+",IF(_xlfn.NUMBERVALUE($I7)&lt;5,IF(_xlfn.NUMBERVALUE($K7)&lt;15001,"S_R_Free_Divided_4Lane_501-15000",IF(_xlfn.NUMBERVALUE($K7)&lt;30001,"S_R_Free_Divided_4Lane_15001-30000","S_R_Free_Divided_4Lane_30001+")),"S_R_Free_Divided_5+Lane_0+")),"Data Error: Divided/Undivided"))),"Data Error: Freeway/Non-Freeway")),
IF($E7="Urban",
IF($F7="Non-Freeway",IF(_xlfn.NUMBERVALUE($K7)&lt;1,"S_U_Non_DataError",IF($H7="TWLTL","S_U_Non_TWLTL_1+Lanes_0+",
IF($G7="Divided",IF(_xlfn.NUMBERVALUE($I7)&lt;3,"S_U_Non_Divided_2Lane_0+",IF(_xlfn.NUMBERVALUE($I7)&lt;5,IF(_xlfn.NUMBERVALUE($K7)&lt;8001,"S_U_Non_Divided_4Lane_0-8000",IF(_xlfn.NUMBERVALUE($K7)&lt;17501,"S_U_Non_Divided_4Lane_8001-17500",IF(_xlfn.NUMBERVALUE($K7)&lt;24001,"S_U_Non_Divided_4Lane_17501-24000","S_U_Non_Divided_4Lane_24001+"))),"S_U_Non_Divided_5+Lane_0+")),
IF($G7="Undivided",IF(_xlfn.NUMBERVALUE($I7)&lt;3,IF(_xlfn.NUMBERVALUE($K7)&lt;4501,"S_U_Non_Undivided_2Lane_0-4500",IF(_xlfn.NUMBERVALUE($K7)&lt;7001,"S_U_Non_Undivided_2Lane_4501-7000","S_U_Non_Undivided_2Lane_7001+")),"S_U_Non_Undivided_4Lane_0+"),"Data Error: Divided/Undivided")))),
IF($F7="Freeway",IF(_xlfn.NUMBERVALUE($K7)&lt;1,"S_U_Free_DataError",
IF($G7="Undivided","S_U_Free_Undivided_1+Lane_0+",
IF($G7="Divided",IF(_xlfn.NUMBERVALUE($I7)&lt;3,"S_U_Free_Divided_2Lane_501+",IF(_xlfn.NUMBERVALUE($I7)&lt;5,IF(_xlfn.NUMBERVALUE($K7)&lt;20001,"S_U_Free_Divided_4Lane_501-20000",IF(_xlfn.NUMBERVALUE($K7)&lt;35001,"S_U_Free_Divided_4Lane_20001-35000","S_U_Free_Divided_4Lane_35001+")),IF(_xlfn.NUMBERVALUE($I7)&lt;7,"S_U_Free_Divided_6Lane_0+","S_U_Free_Divided_7+Lane_0+"))),"Data Error: Divided/Undivided"))),"Data Error: Freeway/Non-Freeway")),"Data Error: Area Type")),"Data Error: Roadway System")))</f>
        <v>Data Error: Number of Lanes</v>
      </c>
      <c r="AA7" s="108" t="str">
        <f>IFERROR(VLOOKUP($Z7,SegAWS[],HLOOKUP("KABC Scaler",SegAWS[],2,FALSE),FALSE),"Data Error")</f>
        <v>Data Error</v>
      </c>
      <c r="AB7" s="43">
        <f t="shared" si="2"/>
        <v>0</v>
      </c>
      <c r="AC7" s="42" t="str">
        <f>IF($J7="","Data Error: Segment Length",
IF(VLOOKUP($Z7,SegAWS[],HLOOKUP("Equation Form",SegAWS[],2,FALSE),FALSE)="Form 1",(((VLOOKUP($Z7,SegAWS[],HLOOKUP("Form 1 Num",SegAWS[],2,FALSE),FALSE))/(1 + EXP(-((VLOOKUP($Z7,SegAWS[],HLOOKUP("Form 1 Exp Coeff",SegAWS[],2,FALSE),FALSE))*($K7-(VLOOKUP($Z7,SegAWS[],HLOOKUP("Form 1 AADT Coeff",SegAWS[],2,FALSE),FALSE)))))))+(VLOOKUP($Z7,SegAWS[],HLOOKUP("Form 1 End Factor",SegAWS[],2,FALSE),FALSE)))*$X7*$J7,
IF(VLOOKUP($Z7,SegAWS[],HLOOKUP("Equation Form",SegAWS[],2,FALSE),FALSE)="Form 2",(EXP((VLOOKUP($Z7,SegAWS[],HLOOKUP("Form 2 Exp Coeff",SegAWS[],2,FALSE),FALSE)))*($K7^(VLOOKUP($Z7,SegAWS[],HLOOKUP("Form 2 AADT Coeff",SegAWS[],2,FALSE),FALSE))))*$X7*$J7,"Data Error: SPF Lookup Name")))</f>
        <v>Data Error: Segment Length</v>
      </c>
      <c r="AD7" s="42" t="e">
        <f>((1/(1+VLOOKUP($Z7,SegAWS[],HLOOKUP("Dispersion Parameter",SegAWS[],2,FALSE),FALSE)*AC7))*AC7
+(1-1/(1+VLOOKUP($Z7,SegAWS[],HLOOKUP("Dispersion Parameter",SegAWS[],2,FALSE),FALSE)*AC7))*AB7)</f>
        <v>#N/A</v>
      </c>
      <c r="AE7" s="43">
        <f t="shared" si="3"/>
        <v>0</v>
      </c>
      <c r="AF7" s="42" t="e">
        <f t="shared" ref="AF7:AF74" si="15">$AC7*$AA7</f>
        <v>#VALUE!</v>
      </c>
      <c r="AG7" s="42" t="e">
        <f>((1/(1+VLOOKUP($Z7,SegAWS[],HLOOKUP("Dispersion Parameter",SegAWS[],2,FALSE),FALSE)*AF7))*AF7
+(1-1/(1+VLOOKUP($Z7,SegAWS[],HLOOKUP("Dispersion Parameter",SegAWS[],2,FALSE),FALSE)*AF7))*AE7)</f>
        <v>#N/A</v>
      </c>
      <c r="AH7" s="60">
        <f t="shared" si="4"/>
        <v>0</v>
      </c>
      <c r="AI7" s="60" t="str">
        <f t="shared" si="5"/>
        <v>Missing Data</v>
      </c>
      <c r="AJ7" s="42" t="str">
        <f t="shared" si="6"/>
        <v>Missing Data</v>
      </c>
      <c r="AK7" s="60" t="str">
        <f>IFERROR(IF(AG7&lt;_xlfn.GAMMA.INV($AU$4,AV7,AW7),"LOSS 1",
IF(AG7&lt;AF7,"LOSS 2",
IF(AG7&lt;_xlfn.GAMMA.INV($AW$4,AV7,AW7),"LOSS 3",
IF(AG7&gt;=_xlfn.GAMMA.INV($AW$4,AV7,AW7),"LOSS 4","Error")))),"Missing Data")</f>
        <v>Missing Data</v>
      </c>
      <c r="AL7" s="42" t="str">
        <f t="shared" si="8"/>
        <v>Missing Data</v>
      </c>
      <c r="AM7" s="43">
        <f t="shared" si="9"/>
        <v>0</v>
      </c>
      <c r="AN7" s="43">
        <f t="shared" si="10"/>
        <v>0</v>
      </c>
      <c r="AO7" s="60" t="str">
        <f t="shared" si="11"/>
        <v>Missing Data</v>
      </c>
      <c r="AP7" s="106"/>
      <c r="AQ7" s="106"/>
      <c r="AR7" s="42" t="e">
        <f>VLOOKUP($Z7,SegAWS[],HLOOKUP("Dispersion Parameter",SegAWS[],2,FALSE),FALSE)</f>
        <v>#N/A</v>
      </c>
      <c r="AS7" s="42" t="e">
        <f>VLOOKUP($Z7,SegAWS[],HLOOKUP("Dispersion Parameter",SegAWS[],2,FALSE),FALSE)</f>
        <v>#N/A</v>
      </c>
      <c r="AT7" s="42" t="e">
        <f t="shared" ref="AT7:AT32" si="16">1/AR7</f>
        <v>#N/A</v>
      </c>
      <c r="AU7" s="42" t="e">
        <f t="shared" si="12"/>
        <v>#VALUE!</v>
      </c>
      <c r="AV7" s="42" t="e">
        <f t="shared" ref="AV7:AV32" si="17">1/AS7</f>
        <v>#N/A</v>
      </c>
      <c r="AW7" s="42" t="e">
        <f t="shared" si="13"/>
        <v>#VALUE!</v>
      </c>
    </row>
    <row r="8" spans="1:71" x14ac:dyDescent="0.3">
      <c r="A8" s="109"/>
      <c r="B8" s="60"/>
      <c r="C8" s="60"/>
      <c r="D8" s="60"/>
      <c r="E8" s="60"/>
      <c r="F8" s="60"/>
      <c r="G8" s="60"/>
      <c r="H8" s="60"/>
      <c r="I8" s="43"/>
      <c r="J8" s="42"/>
      <c r="K8" s="43"/>
      <c r="L8" s="60"/>
      <c r="M8" s="60"/>
      <c r="N8" s="60"/>
      <c r="O8" s="43"/>
      <c r="P8" s="43"/>
      <c r="Q8" s="43"/>
      <c r="R8" s="43"/>
      <c r="S8" s="43"/>
      <c r="T8" s="43"/>
      <c r="U8" s="43"/>
      <c r="V8" s="43"/>
      <c r="W8" s="60" t="str">
        <f t="shared" si="0"/>
        <v/>
      </c>
      <c r="X8" s="43">
        <f t="shared" si="1"/>
        <v>5</v>
      </c>
      <c r="Y8" s="91" t="e">
        <f>VLOOKUP(Z8,SegAWS[],HLOOKUP("AWS Name",SegAWS[],2,FALSE),FALSE)</f>
        <v>#N/A</v>
      </c>
      <c r="Z8" s="91" t="str">
        <f t="shared" si="14"/>
        <v>Data Error: Number of Lanes</v>
      </c>
      <c r="AA8" s="108" t="str">
        <f>IFERROR(VLOOKUP($Z8,SegAWS[],HLOOKUP("KABC Scaler",SegAWS[],2,FALSE),FALSE),"Data Error")</f>
        <v>Data Error</v>
      </c>
      <c r="AB8" s="43">
        <f t="shared" si="2"/>
        <v>0</v>
      </c>
      <c r="AC8" s="42" t="str">
        <f>IF($J8="","Data Error: Segment Length",
IF(VLOOKUP($Z8,SegAWS[],HLOOKUP("Equation Form",SegAWS[],2,FALSE),FALSE)="Form 1",(((VLOOKUP($Z8,SegAWS[],HLOOKUP("Form 1 Num",SegAWS[],2,FALSE),FALSE))/(1 + EXP(-((VLOOKUP($Z8,SegAWS[],HLOOKUP("Form 1 Exp Coeff",SegAWS[],2,FALSE),FALSE))*($K8-(VLOOKUP($Z8,SegAWS[],HLOOKUP("Form 1 AADT Coeff",SegAWS[],2,FALSE),FALSE)))))))+(VLOOKUP($Z8,SegAWS[],HLOOKUP("Form 1 End Factor",SegAWS[],2,FALSE),FALSE)))*$X8*$J8,
IF(VLOOKUP($Z8,SegAWS[],HLOOKUP("Equation Form",SegAWS[],2,FALSE),FALSE)="Form 2",(EXP((VLOOKUP($Z8,SegAWS[],HLOOKUP("Form 2 Exp Coeff",SegAWS[],2,FALSE),FALSE)))*($K8^(VLOOKUP($Z8,SegAWS[],HLOOKUP("Form 2 AADT Coeff",SegAWS[],2,FALSE),FALSE))))*$X8*$J8,"Data Error: SPF Lookup Name")))</f>
        <v>Data Error: Segment Length</v>
      </c>
      <c r="AD8" s="42" t="e">
        <f>((1/(1+VLOOKUP($Z8,SegAWS[],HLOOKUP("Dispersion Parameter",SegAWS[],2,FALSE),FALSE)*AC8))*AC8
+(1-1/(1+VLOOKUP($Z8,SegAWS[],HLOOKUP("Dispersion Parameter",SegAWS[],2,FALSE),FALSE)*AC8))*AB8)</f>
        <v>#N/A</v>
      </c>
      <c r="AE8" s="43">
        <f t="shared" si="3"/>
        <v>0</v>
      </c>
      <c r="AF8" s="42" t="e">
        <f t="shared" si="15"/>
        <v>#VALUE!</v>
      </c>
      <c r="AG8" s="42" t="e">
        <f>((1/(1+VLOOKUP($Z8,SegAWS[],HLOOKUP("Dispersion Parameter",SegAWS[],2,FALSE),FALSE)*AF8))*AF8
+(1-1/(1+VLOOKUP($Z8,SegAWS[],HLOOKUP("Dispersion Parameter",SegAWS[],2,FALSE),FALSE)*AF8))*AE8)</f>
        <v>#N/A</v>
      </c>
      <c r="AH8" s="60">
        <f t="shared" si="4"/>
        <v>0</v>
      </c>
      <c r="AI8" s="60" t="str">
        <f t="shared" si="5"/>
        <v>Missing Data</v>
      </c>
      <c r="AJ8" s="42" t="str">
        <f t="shared" si="6"/>
        <v>Missing Data</v>
      </c>
      <c r="AK8" s="60" t="str">
        <f t="shared" si="7"/>
        <v>Missing Data</v>
      </c>
      <c r="AL8" s="42" t="str">
        <f t="shared" si="8"/>
        <v>Missing Data</v>
      </c>
      <c r="AM8" s="43">
        <f t="shared" si="9"/>
        <v>0</v>
      </c>
      <c r="AN8" s="43">
        <f t="shared" si="10"/>
        <v>0</v>
      </c>
      <c r="AO8" s="60" t="str">
        <f t="shared" si="11"/>
        <v>Missing Data</v>
      </c>
      <c r="AP8" s="106"/>
      <c r="AQ8" s="106"/>
      <c r="AR8" s="42" t="e">
        <f>VLOOKUP($Z8,SegAWS[],HLOOKUP("Dispersion Parameter",SegAWS[],2,FALSE),FALSE)</f>
        <v>#N/A</v>
      </c>
      <c r="AS8" s="42" t="e">
        <f>VLOOKUP($Z8,SegAWS[],HLOOKUP("Dispersion Parameter",SegAWS[],2,FALSE),FALSE)</f>
        <v>#N/A</v>
      </c>
      <c r="AT8" s="42" t="e">
        <f t="shared" si="16"/>
        <v>#N/A</v>
      </c>
      <c r="AU8" s="42" t="e">
        <f t="shared" si="12"/>
        <v>#VALUE!</v>
      </c>
      <c r="AV8" s="42" t="e">
        <f t="shared" si="17"/>
        <v>#N/A</v>
      </c>
      <c r="AW8" s="42" t="e">
        <f t="shared" si="13"/>
        <v>#VALUE!</v>
      </c>
    </row>
    <row r="9" spans="1:71" x14ac:dyDescent="0.3">
      <c r="A9" s="109"/>
      <c r="B9" s="60"/>
      <c r="C9" s="60"/>
      <c r="D9" s="60"/>
      <c r="E9" s="60"/>
      <c r="F9" s="60"/>
      <c r="G9" s="60"/>
      <c r="H9" s="60"/>
      <c r="I9" s="43"/>
      <c r="J9" s="42"/>
      <c r="K9" s="43"/>
      <c r="L9" s="60"/>
      <c r="M9" s="60"/>
      <c r="N9" s="60"/>
      <c r="O9" s="43"/>
      <c r="P9" s="43"/>
      <c r="Q9" s="43"/>
      <c r="R9" s="43"/>
      <c r="S9" s="43"/>
      <c r="T9" s="43"/>
      <c r="U9" s="43"/>
      <c r="V9" s="43"/>
      <c r="W9" s="60" t="str">
        <f t="shared" si="0"/>
        <v/>
      </c>
      <c r="X9" s="43">
        <f t="shared" si="1"/>
        <v>5</v>
      </c>
      <c r="Y9" s="91" t="e">
        <f>VLOOKUP(Z9,SegAWS[],HLOOKUP("AWS Name",SegAWS[],2,FALSE),FALSE)</f>
        <v>#N/A</v>
      </c>
      <c r="Z9" s="91" t="str">
        <f t="shared" si="14"/>
        <v>Data Error: Number of Lanes</v>
      </c>
      <c r="AA9" s="108" t="str">
        <f>IFERROR(VLOOKUP($Z9,SegAWS[],HLOOKUP("KABC Scaler",SegAWS[],2,FALSE),FALSE),"Data Error")</f>
        <v>Data Error</v>
      </c>
      <c r="AB9" s="43">
        <f t="shared" si="2"/>
        <v>0</v>
      </c>
      <c r="AC9" s="42" t="str">
        <f>IF($J9="","Data Error: Segment Length",
IF(VLOOKUP($Z9,SegAWS[],HLOOKUP("Equation Form",SegAWS[],2,FALSE),FALSE)="Form 1",(((VLOOKUP($Z9,SegAWS[],HLOOKUP("Form 1 Num",SegAWS[],2,FALSE),FALSE))/(1 + EXP(-((VLOOKUP($Z9,SegAWS[],HLOOKUP("Form 1 Exp Coeff",SegAWS[],2,FALSE),FALSE))*($K9-(VLOOKUP($Z9,SegAWS[],HLOOKUP("Form 1 AADT Coeff",SegAWS[],2,FALSE),FALSE)))))))+(VLOOKUP($Z9,SegAWS[],HLOOKUP("Form 1 End Factor",SegAWS[],2,FALSE),FALSE)))*$X9*$J9,
IF(VLOOKUP($Z9,SegAWS[],HLOOKUP("Equation Form",SegAWS[],2,FALSE),FALSE)="Form 2",(EXP((VLOOKUP($Z9,SegAWS[],HLOOKUP("Form 2 Exp Coeff",SegAWS[],2,FALSE),FALSE)))*($K9^(VLOOKUP($Z9,SegAWS[],HLOOKUP("Form 2 AADT Coeff",SegAWS[],2,FALSE),FALSE))))*$X9*$J9,"Data Error: SPF Lookup Name")))</f>
        <v>Data Error: Segment Length</v>
      </c>
      <c r="AD9" s="42" t="e">
        <f>((1/(1+VLOOKUP($Z9,SegAWS[],HLOOKUP("Dispersion Parameter",SegAWS[],2,FALSE),FALSE)*AC9))*AC9
+(1-1/(1+VLOOKUP($Z9,SegAWS[],HLOOKUP("Dispersion Parameter",SegAWS[],2,FALSE),FALSE)*AC9))*AB9)</f>
        <v>#N/A</v>
      </c>
      <c r="AE9" s="43">
        <f t="shared" si="3"/>
        <v>0</v>
      </c>
      <c r="AF9" s="42" t="e">
        <f t="shared" si="15"/>
        <v>#VALUE!</v>
      </c>
      <c r="AG9" s="42" t="e">
        <f>((1/(1+VLOOKUP($Z9,SegAWS[],HLOOKUP("Dispersion Parameter",SegAWS[],2,FALSE),FALSE)*AF9))*AF9
+(1-1/(1+VLOOKUP($Z9,SegAWS[],HLOOKUP("Dispersion Parameter",SegAWS[],2,FALSE),FALSE)*AF9))*AE9)</f>
        <v>#N/A</v>
      </c>
      <c r="AH9" s="60">
        <f t="shared" si="4"/>
        <v>0</v>
      </c>
      <c r="AI9" s="60" t="str">
        <f t="shared" si="5"/>
        <v>Missing Data</v>
      </c>
      <c r="AJ9" s="42" t="str">
        <f t="shared" si="6"/>
        <v>Missing Data</v>
      </c>
      <c r="AK9" s="60" t="str">
        <f t="shared" si="7"/>
        <v>Missing Data</v>
      </c>
      <c r="AL9" s="42" t="str">
        <f t="shared" si="8"/>
        <v>Missing Data</v>
      </c>
      <c r="AM9" s="43">
        <f t="shared" si="9"/>
        <v>0</v>
      </c>
      <c r="AN9" s="43">
        <f t="shared" si="10"/>
        <v>0</v>
      </c>
      <c r="AO9" s="60" t="str">
        <f t="shared" si="11"/>
        <v>Missing Data</v>
      </c>
      <c r="AP9" s="106"/>
      <c r="AQ9" s="106"/>
      <c r="AR9" s="42" t="e">
        <f>VLOOKUP($Z9,SegAWS[],HLOOKUP("Dispersion Parameter",SegAWS[],2,FALSE),FALSE)</f>
        <v>#N/A</v>
      </c>
      <c r="AS9" s="42" t="e">
        <f>VLOOKUP($Z9,SegAWS[],HLOOKUP("Dispersion Parameter",SegAWS[],2,FALSE),FALSE)</f>
        <v>#N/A</v>
      </c>
      <c r="AT9" s="42" t="e">
        <f t="shared" si="16"/>
        <v>#N/A</v>
      </c>
      <c r="AU9" s="42" t="e">
        <f t="shared" si="12"/>
        <v>#VALUE!</v>
      </c>
      <c r="AV9" s="42" t="e">
        <f t="shared" si="17"/>
        <v>#N/A</v>
      </c>
      <c r="AW9" s="42" t="e">
        <f t="shared" si="13"/>
        <v>#VALUE!</v>
      </c>
    </row>
    <row r="10" spans="1:71" x14ac:dyDescent="0.3">
      <c r="A10" s="109"/>
      <c r="B10" s="60"/>
      <c r="C10" s="60"/>
      <c r="D10" s="60"/>
      <c r="E10" s="60"/>
      <c r="F10" s="60"/>
      <c r="G10" s="60"/>
      <c r="H10" s="60"/>
      <c r="I10" s="43"/>
      <c r="J10" s="42"/>
      <c r="K10" s="43"/>
      <c r="L10" s="60"/>
      <c r="M10" s="60"/>
      <c r="N10" s="60"/>
      <c r="O10" s="43"/>
      <c r="P10" s="43"/>
      <c r="Q10" s="43"/>
      <c r="R10" s="43"/>
      <c r="S10" s="43"/>
      <c r="T10" s="43"/>
      <c r="U10" s="43"/>
      <c r="V10" s="43"/>
      <c r="W10" s="60" t="str">
        <f t="shared" si="0"/>
        <v/>
      </c>
      <c r="X10" s="43">
        <f t="shared" si="1"/>
        <v>5</v>
      </c>
      <c r="Y10" s="91" t="e">
        <f>VLOOKUP(Z10,SegAWS[],HLOOKUP("AWS Name",SegAWS[],2,FALSE),FALSE)</f>
        <v>#N/A</v>
      </c>
      <c r="Z10" s="91" t="str">
        <f t="shared" si="14"/>
        <v>Data Error: Number of Lanes</v>
      </c>
      <c r="AA10" s="108" t="str">
        <f>IFERROR(VLOOKUP($Z10,SegAWS[],HLOOKUP("KABC Scaler",SegAWS[],2,FALSE),FALSE),"Data Error")</f>
        <v>Data Error</v>
      </c>
      <c r="AB10" s="43">
        <f t="shared" si="2"/>
        <v>0</v>
      </c>
      <c r="AC10" s="42" t="str">
        <f>IF($J10="","Data Error: Segment Length",
IF(VLOOKUP($Z10,SegAWS[],HLOOKUP("Equation Form",SegAWS[],2,FALSE),FALSE)="Form 1",(((VLOOKUP($Z10,SegAWS[],HLOOKUP("Form 1 Num",SegAWS[],2,FALSE),FALSE))/(1 + EXP(-((VLOOKUP($Z10,SegAWS[],HLOOKUP("Form 1 Exp Coeff",SegAWS[],2,FALSE),FALSE))*($K10-(VLOOKUP($Z10,SegAWS[],HLOOKUP("Form 1 AADT Coeff",SegAWS[],2,FALSE),FALSE)))))))+(VLOOKUP($Z10,SegAWS[],HLOOKUP("Form 1 End Factor",SegAWS[],2,FALSE),FALSE)))*$X10*$J10,
IF(VLOOKUP($Z10,SegAWS[],HLOOKUP("Equation Form",SegAWS[],2,FALSE),FALSE)="Form 2",(EXP((VLOOKUP($Z10,SegAWS[],HLOOKUP("Form 2 Exp Coeff",SegAWS[],2,FALSE),FALSE)))*($K10^(VLOOKUP($Z10,SegAWS[],HLOOKUP("Form 2 AADT Coeff",SegAWS[],2,FALSE),FALSE))))*$X10*$J10,"Data Error: SPF Lookup Name")))</f>
        <v>Data Error: Segment Length</v>
      </c>
      <c r="AD10" s="42" t="e">
        <f>((1/(1+VLOOKUP($Z10,SegAWS[],HLOOKUP("Dispersion Parameter",SegAWS[],2,FALSE),FALSE)*AC10))*AC10
+(1-1/(1+VLOOKUP($Z10,SegAWS[],HLOOKUP("Dispersion Parameter",SegAWS[],2,FALSE),FALSE)*AC10))*AB10)</f>
        <v>#N/A</v>
      </c>
      <c r="AE10" s="43">
        <f t="shared" si="3"/>
        <v>0</v>
      </c>
      <c r="AF10" s="42" t="e">
        <f t="shared" si="15"/>
        <v>#VALUE!</v>
      </c>
      <c r="AG10" s="42" t="e">
        <f>((1/(1+VLOOKUP($Z10,SegAWS[],HLOOKUP("Dispersion Parameter",SegAWS[],2,FALSE),FALSE)*AF10))*AF10
+(1-1/(1+VLOOKUP($Z10,SegAWS[],HLOOKUP("Dispersion Parameter",SegAWS[],2,FALSE),FALSE)*AF10))*AE10)</f>
        <v>#N/A</v>
      </c>
      <c r="AH10" s="60">
        <f t="shared" si="4"/>
        <v>0</v>
      </c>
      <c r="AI10" s="60" t="str">
        <f t="shared" si="5"/>
        <v>Missing Data</v>
      </c>
      <c r="AJ10" s="42" t="str">
        <f t="shared" si="6"/>
        <v>Missing Data</v>
      </c>
      <c r="AK10" s="60" t="str">
        <f t="shared" si="7"/>
        <v>Missing Data</v>
      </c>
      <c r="AL10" s="42" t="str">
        <f t="shared" si="8"/>
        <v>Missing Data</v>
      </c>
      <c r="AM10" s="43">
        <f t="shared" si="9"/>
        <v>0</v>
      </c>
      <c r="AN10" s="43">
        <f t="shared" si="10"/>
        <v>0</v>
      </c>
      <c r="AO10" s="60" t="str">
        <f t="shared" si="11"/>
        <v>Missing Data</v>
      </c>
      <c r="AP10" s="106"/>
      <c r="AQ10" s="106"/>
      <c r="AR10" s="42" t="e">
        <f>VLOOKUP($Z10,SegAWS[],HLOOKUP("Dispersion Parameter",SegAWS[],2,FALSE),FALSE)</f>
        <v>#N/A</v>
      </c>
      <c r="AS10" s="42" t="e">
        <f>VLOOKUP($Z10,SegAWS[],HLOOKUP("Dispersion Parameter",SegAWS[],2,FALSE),FALSE)</f>
        <v>#N/A</v>
      </c>
      <c r="AT10" s="42" t="e">
        <f t="shared" si="16"/>
        <v>#N/A</v>
      </c>
      <c r="AU10" s="42" t="e">
        <f t="shared" si="12"/>
        <v>#VALUE!</v>
      </c>
      <c r="AV10" s="42" t="e">
        <f t="shared" si="17"/>
        <v>#N/A</v>
      </c>
      <c r="AW10" s="42" t="e">
        <f t="shared" si="13"/>
        <v>#VALUE!</v>
      </c>
    </row>
    <row r="11" spans="1:71" x14ac:dyDescent="0.3">
      <c r="A11" s="109"/>
      <c r="B11" s="60"/>
      <c r="C11" s="60"/>
      <c r="D11" s="60"/>
      <c r="E11" s="60"/>
      <c r="F11" s="60"/>
      <c r="G11" s="60"/>
      <c r="H11" s="60"/>
      <c r="I11" s="43"/>
      <c r="J11" s="42"/>
      <c r="K11" s="43"/>
      <c r="L11" s="60"/>
      <c r="M11" s="60"/>
      <c r="N11" s="60"/>
      <c r="O11" s="43"/>
      <c r="P11" s="43"/>
      <c r="Q11" s="43"/>
      <c r="R11" s="43"/>
      <c r="S11" s="43"/>
      <c r="T11" s="43"/>
      <c r="U11" s="43"/>
      <c r="V11" s="43"/>
      <c r="W11" s="60" t="str">
        <f t="shared" si="0"/>
        <v/>
      </c>
      <c r="X11" s="43">
        <f t="shared" si="1"/>
        <v>5</v>
      </c>
      <c r="Y11" s="91" t="e">
        <f>VLOOKUP(Z11,SegAWS[],HLOOKUP("AWS Name",SegAWS[],2,FALSE),FALSE)</f>
        <v>#N/A</v>
      </c>
      <c r="Z11" s="91" t="str">
        <f t="shared" si="14"/>
        <v>Data Error: Number of Lanes</v>
      </c>
      <c r="AA11" s="108" t="str">
        <f>IFERROR(VLOOKUP($Z11,SegAWS[],HLOOKUP("KABC Scaler",SegAWS[],2,FALSE),FALSE),"Data Error")</f>
        <v>Data Error</v>
      </c>
      <c r="AB11" s="43">
        <f t="shared" si="2"/>
        <v>0</v>
      </c>
      <c r="AC11" s="42" t="str">
        <f>IF($J11="","Data Error: Segment Length",
IF(VLOOKUP($Z11,SegAWS[],HLOOKUP("Equation Form",SegAWS[],2,FALSE),FALSE)="Form 1",(((VLOOKUP($Z11,SegAWS[],HLOOKUP("Form 1 Num",SegAWS[],2,FALSE),FALSE))/(1 + EXP(-((VLOOKUP($Z11,SegAWS[],HLOOKUP("Form 1 Exp Coeff",SegAWS[],2,FALSE),FALSE))*($K11-(VLOOKUP($Z11,SegAWS[],HLOOKUP("Form 1 AADT Coeff",SegAWS[],2,FALSE),FALSE)))))))+(VLOOKUP($Z11,SegAWS[],HLOOKUP("Form 1 End Factor",SegAWS[],2,FALSE),FALSE)))*$X11*$J11,
IF(VLOOKUP($Z11,SegAWS[],HLOOKUP("Equation Form",SegAWS[],2,FALSE),FALSE)="Form 2",(EXP((VLOOKUP($Z11,SegAWS[],HLOOKUP("Form 2 Exp Coeff",SegAWS[],2,FALSE),FALSE)))*($K11^(VLOOKUP($Z11,SegAWS[],HLOOKUP("Form 2 AADT Coeff",SegAWS[],2,FALSE),FALSE))))*$X11*$J11,"Data Error: SPF Lookup Name")))</f>
        <v>Data Error: Segment Length</v>
      </c>
      <c r="AD11" s="42" t="e">
        <f>((1/(1+VLOOKUP($Z11,SegAWS[],HLOOKUP("Dispersion Parameter",SegAWS[],2,FALSE),FALSE)*AC11))*AC11
+(1-1/(1+VLOOKUP($Z11,SegAWS[],HLOOKUP("Dispersion Parameter",SegAWS[],2,FALSE),FALSE)*AC11))*AB11)</f>
        <v>#N/A</v>
      </c>
      <c r="AE11" s="43">
        <f t="shared" si="3"/>
        <v>0</v>
      </c>
      <c r="AF11" s="42" t="e">
        <f t="shared" si="15"/>
        <v>#VALUE!</v>
      </c>
      <c r="AG11" s="42" t="e">
        <f>((1/(1+VLOOKUP($Z11,SegAWS[],HLOOKUP("Dispersion Parameter",SegAWS[],2,FALSE),FALSE)*AF11))*AF11
+(1-1/(1+VLOOKUP($Z11,SegAWS[],HLOOKUP("Dispersion Parameter",SegAWS[],2,FALSE),FALSE)*AF11))*AE11)</f>
        <v>#N/A</v>
      </c>
      <c r="AH11" s="60">
        <f t="shared" si="4"/>
        <v>0</v>
      </c>
      <c r="AI11" s="60" t="str">
        <f t="shared" si="5"/>
        <v>Missing Data</v>
      </c>
      <c r="AJ11" s="42" t="str">
        <f t="shared" si="6"/>
        <v>Missing Data</v>
      </c>
      <c r="AK11" s="60" t="str">
        <f t="shared" si="7"/>
        <v>Missing Data</v>
      </c>
      <c r="AL11" s="42" t="str">
        <f t="shared" si="8"/>
        <v>Missing Data</v>
      </c>
      <c r="AM11" s="43">
        <f t="shared" si="9"/>
        <v>0</v>
      </c>
      <c r="AN11" s="43">
        <f t="shared" si="10"/>
        <v>0</v>
      </c>
      <c r="AO11" s="60" t="str">
        <f t="shared" si="11"/>
        <v>Missing Data</v>
      </c>
      <c r="AP11" s="106"/>
      <c r="AQ11" s="106"/>
      <c r="AR11" s="42" t="e">
        <f>VLOOKUP($Z11,SegAWS[],HLOOKUP("Dispersion Parameter",SegAWS[],2,FALSE),FALSE)</f>
        <v>#N/A</v>
      </c>
      <c r="AS11" s="42" t="e">
        <f>VLOOKUP($Z11,SegAWS[],HLOOKUP("Dispersion Parameter",SegAWS[],2,FALSE),FALSE)</f>
        <v>#N/A</v>
      </c>
      <c r="AT11" s="42" t="e">
        <f t="shared" si="16"/>
        <v>#N/A</v>
      </c>
      <c r="AU11" s="42" t="e">
        <f t="shared" si="12"/>
        <v>#VALUE!</v>
      </c>
      <c r="AV11" s="42" t="e">
        <f t="shared" si="17"/>
        <v>#N/A</v>
      </c>
      <c r="AW11" s="42" t="e">
        <f t="shared" si="13"/>
        <v>#VALUE!</v>
      </c>
    </row>
    <row r="12" spans="1:71" x14ac:dyDescent="0.3">
      <c r="A12" s="109"/>
      <c r="B12" s="60"/>
      <c r="C12" s="60"/>
      <c r="D12" s="60"/>
      <c r="E12" s="60"/>
      <c r="F12" s="60"/>
      <c r="G12" s="60"/>
      <c r="H12" s="60"/>
      <c r="I12" s="43"/>
      <c r="J12" s="42"/>
      <c r="K12" s="43"/>
      <c r="L12" s="60"/>
      <c r="M12" s="60"/>
      <c r="N12" s="60"/>
      <c r="O12" s="43"/>
      <c r="P12" s="43"/>
      <c r="Q12" s="43"/>
      <c r="R12" s="43"/>
      <c r="S12" s="43"/>
      <c r="T12" s="43"/>
      <c r="U12" s="43"/>
      <c r="V12" s="43"/>
      <c r="W12" s="60" t="str">
        <f t="shared" si="0"/>
        <v/>
      </c>
      <c r="X12" s="43">
        <f t="shared" si="1"/>
        <v>5</v>
      </c>
      <c r="Y12" s="91" t="e">
        <f>VLOOKUP(Z12,SegAWS[],HLOOKUP("AWS Name",SegAWS[],2,FALSE),FALSE)</f>
        <v>#N/A</v>
      </c>
      <c r="Z12" s="91" t="str">
        <f t="shared" si="14"/>
        <v>Data Error: Number of Lanes</v>
      </c>
      <c r="AA12" s="108" t="str">
        <f>IFERROR(VLOOKUP($Z12,SegAWS[],HLOOKUP("KABC Scaler",SegAWS[],2,FALSE),FALSE),"Data Error")</f>
        <v>Data Error</v>
      </c>
      <c r="AB12" s="43">
        <f t="shared" si="2"/>
        <v>0</v>
      </c>
      <c r="AC12" s="42" t="str">
        <f>IF($J12="","Data Error: Segment Length",
IF(VLOOKUP($Z12,SegAWS[],HLOOKUP("Equation Form",SegAWS[],2,FALSE),FALSE)="Form 1",(((VLOOKUP($Z12,SegAWS[],HLOOKUP("Form 1 Num",SegAWS[],2,FALSE),FALSE))/(1 + EXP(-((VLOOKUP($Z12,SegAWS[],HLOOKUP("Form 1 Exp Coeff",SegAWS[],2,FALSE),FALSE))*($K12-(VLOOKUP($Z12,SegAWS[],HLOOKUP("Form 1 AADT Coeff",SegAWS[],2,FALSE),FALSE)))))))+(VLOOKUP($Z12,SegAWS[],HLOOKUP("Form 1 End Factor",SegAWS[],2,FALSE),FALSE)))*$X12*$J12,
IF(VLOOKUP($Z12,SegAWS[],HLOOKUP("Equation Form",SegAWS[],2,FALSE),FALSE)="Form 2",(EXP((VLOOKUP($Z12,SegAWS[],HLOOKUP("Form 2 Exp Coeff",SegAWS[],2,FALSE),FALSE)))*($K12^(VLOOKUP($Z12,SegAWS[],HLOOKUP("Form 2 AADT Coeff",SegAWS[],2,FALSE),FALSE))))*$X12*$J12,"Data Error: SPF Lookup Name")))</f>
        <v>Data Error: Segment Length</v>
      </c>
      <c r="AD12" s="42" t="e">
        <f>((1/(1+VLOOKUP($Z12,SegAWS[],HLOOKUP("Dispersion Parameter",SegAWS[],2,FALSE),FALSE)*AC12))*AC12
+(1-1/(1+VLOOKUP($Z12,SegAWS[],HLOOKUP("Dispersion Parameter",SegAWS[],2,FALSE),FALSE)*AC12))*AB12)</f>
        <v>#N/A</v>
      </c>
      <c r="AE12" s="43">
        <f t="shared" si="3"/>
        <v>0</v>
      </c>
      <c r="AF12" s="42" t="e">
        <f t="shared" si="15"/>
        <v>#VALUE!</v>
      </c>
      <c r="AG12" s="42" t="e">
        <f>((1/(1+VLOOKUP($Z12,SegAWS[],HLOOKUP("Dispersion Parameter",SegAWS[],2,FALSE),FALSE)*AF12))*AF12
+(1-1/(1+VLOOKUP($Z12,SegAWS[],HLOOKUP("Dispersion Parameter",SegAWS[],2,FALSE),FALSE)*AF12))*AE12)</f>
        <v>#N/A</v>
      </c>
      <c r="AH12" s="60">
        <f t="shared" si="4"/>
        <v>0</v>
      </c>
      <c r="AI12" s="60" t="str">
        <f t="shared" si="5"/>
        <v>Missing Data</v>
      </c>
      <c r="AJ12" s="42" t="str">
        <f t="shared" si="6"/>
        <v>Missing Data</v>
      </c>
      <c r="AK12" s="60" t="str">
        <f t="shared" si="7"/>
        <v>Missing Data</v>
      </c>
      <c r="AL12" s="42" t="str">
        <f t="shared" si="8"/>
        <v>Missing Data</v>
      </c>
      <c r="AM12" s="43">
        <f t="shared" si="9"/>
        <v>0</v>
      </c>
      <c r="AN12" s="43">
        <f t="shared" si="10"/>
        <v>0</v>
      </c>
      <c r="AO12" s="60" t="str">
        <f t="shared" si="11"/>
        <v>Missing Data</v>
      </c>
      <c r="AP12" s="106"/>
      <c r="AQ12" s="106"/>
      <c r="AR12" s="42" t="e">
        <f>VLOOKUP($Z12,SegAWS[],HLOOKUP("Dispersion Parameter",SegAWS[],2,FALSE),FALSE)</f>
        <v>#N/A</v>
      </c>
      <c r="AS12" s="42" t="e">
        <f>VLOOKUP($Z12,SegAWS[],HLOOKUP("Dispersion Parameter",SegAWS[],2,FALSE),FALSE)</f>
        <v>#N/A</v>
      </c>
      <c r="AT12" s="42" t="e">
        <f t="shared" si="16"/>
        <v>#N/A</v>
      </c>
      <c r="AU12" s="42" t="e">
        <f t="shared" si="12"/>
        <v>#VALUE!</v>
      </c>
      <c r="AV12" s="42" t="e">
        <f t="shared" si="17"/>
        <v>#N/A</v>
      </c>
      <c r="AW12" s="42" t="e">
        <f t="shared" si="13"/>
        <v>#VALUE!</v>
      </c>
    </row>
    <row r="13" spans="1:71" x14ac:dyDescent="0.3">
      <c r="A13" s="109"/>
      <c r="B13" s="60"/>
      <c r="C13" s="60"/>
      <c r="D13" s="60"/>
      <c r="E13" s="60"/>
      <c r="F13" s="60"/>
      <c r="G13" s="60"/>
      <c r="H13" s="60"/>
      <c r="I13" s="43"/>
      <c r="J13" s="42"/>
      <c r="K13" s="43"/>
      <c r="L13" s="60"/>
      <c r="M13" s="60"/>
      <c r="N13" s="60"/>
      <c r="O13" s="43"/>
      <c r="P13" s="43"/>
      <c r="Q13" s="43"/>
      <c r="R13" s="43"/>
      <c r="S13" s="43"/>
      <c r="T13" s="43"/>
      <c r="U13" s="43"/>
      <c r="V13" s="43"/>
      <c r="W13" s="60" t="str">
        <f t="shared" ref="W13:W16" si="18">SUBSTITUTE(SUBSTITUTE(SUBSTITUTE(N13,CHAR(34),""),"[", ""),"]", "")</f>
        <v/>
      </c>
      <c r="X13" s="43">
        <f t="shared" ref="X13:X16" si="19">$X$4</f>
        <v>5</v>
      </c>
      <c r="Y13" s="91" t="e">
        <f>VLOOKUP(Z13,SegAWS[],HLOOKUP("AWS Name",SegAWS[],2,FALSE),FALSE)</f>
        <v>#N/A</v>
      </c>
      <c r="Z13" s="91" t="str">
        <f t="shared" ref="Z13:Z16" si="20">IF(OR($I13=0,$I13=""),"Data Error: Number of Lanes",
IF($D13="Local Road",
IF($E13="Rural",IF($F13="Non-Freeway",
IF($G13="Divided",IF(_xlfn.NUMBERVALUE($I13)&lt;3,IF(_xlfn.NUMBERVALUE($K13)&lt;1,"L_R_DataError",IF(_xlfn.NUMBERVALUE($K13)&lt;251,"L_R_Non_Divided_2Lane_0-250",IF(_xlfn.NUMBERVALUE($K13)&lt;401,"L_R_Non_Divided_2Lane_251-400",IF(_xlfn.NUMBERVALUE($K13)&lt;751,"L_R_Non_Divided_2Lane_401-750",IF(_xlfn.NUMBERVALUE($K13)&lt;1501,"L_R_Non_Divided_2Lane_751-1500",IF(_xlfn.NUMBERVALUE($K13)&lt;3501,"L_R_Non_Divided_2Lane_1501-3500","L_R_Non_Divided_2Lane_3501+")))))),"L_R_Non_Divided_3+Lane_0+"),
IF($G13="Undivided",IF(_xlfn.NUMBERVALUE($I13)&lt;3,IF(_xlfn.NUMBERVALUE($K13)&lt;1,"L_R_DataError",IF(_xlfn.NUMBERVALUE($K13)&lt;251,"L_R_Non_Undivided_2Lane_0-250",IF(_xlfn.NUMBERVALUE($K13)&lt;401,"L_R_Non_Undivided_2Lane_251-400",IF(_xlfn.NUMBERVALUE($K13)&lt;751,"L_R_Non_Undivided_2Lane_401-750",IF(_xlfn.NUMBERVALUE($K13)&lt;1501,"L_R_Non_Undivided_2Lane_751-1500",IF(_xlfn.NUMBERVALUE($K13)&lt;3501,"L_R_Non_Undivided_2Lane_1501-3500","L_R_Non_Undivided_2Lane_3501+")))))),"L_R_Non_Undivided_3+Lane_0+"),"Data Error: Divided/Undivided")),"Data Error: Freeway/Non-Freeway"),
IF($E13="Urban",IF($F13="Non-Freeway",
IF($G13="Divided",IF(_xlfn.NUMBERVALUE($I13)&lt;3,IF(_xlfn.NUMBERVALUE($K13)&lt;1,"L_U_DataError",IF(_xlfn.NUMBERVALUE($K13)&lt;251,"L_U_Non_Divided_2Lane_0-250",IF(_xlfn.NUMBERVALUE($K13)&lt;401,"L_U_Non_Divided_2Lane_251-400",IF(_xlfn.NUMBERVALUE($K13)&lt;751,"L_U_Non_Divided_2Lane_401-750",IF(_xlfn.NUMBERVALUE($K13)&lt;1501,"L_U_Non_Divided_2Lane_751-1500",IF(_xlfn.NUMBERVALUE($K13)&lt;3501,"L_U_Non_Divided_2Lane_1501-3500",IF(_xlfn.NUMBERVALUE($K13)&lt;7001,"L_U_Non_Divided_2Lane_3501-7000","L_U_Non_Divided_2Lane_7001+"))))))),"L_U_Non_Divided_3+Lane_0+"),
IF($G13="Undivided",IF(_xlfn.NUMBERVALUE($I13)&lt;3,IF(_xlfn.NUMBERVALUE($K13)&lt;1,"L_U_DataError",IF(_xlfn.NUMBERVALUE($K13)&lt;251,"L_U_Non_Undivided_2Lane_0-250",IF(_xlfn.NUMBERVALUE($K13)&lt;401,"L_U_Non_Undivided_2Lane_251-400",IF(_xlfn.NUMBERVALUE($K13)&lt;751,"L_U_Non_Undivided_2Lane_401-750",IF(_xlfn.NUMBERVALUE($K13)&lt;1501,"L_U_Non_Undivided_2Lane_751-1500",IF(_xlfn.NUMBERVALUE($K13)&lt;3501,"L_U_Non_Undivided_2Lane_1501-3500",IF(_xlfn.NUMBERVALUE($K13)&lt;7001,"L_U_Non_Undivided_2Lane_3501-7000","L_U_Non_Undivided_2Lane_7001+"))))))),"L_U_Non_Undivided_3+Lane_0+"),"Data Error: Divided/Undivided")),"Data Error: Freeway/Non-Freeway"),"Data Error: Area Type")),
IF($D13="State Highway",
IF($E13="Rural",
IF($F13="Non-Freeway",IF(_xlfn.NUMBERVALUE($K13)&lt;1,"S_R_Non_DataError",IF($H13="TWLTL","S_R_Non_TWLTL_1+Lanes_0+",
IF($G13="Divided",IF(_xlfn.NUMBERVALUE($I13)&lt;3,"S_R_Non_Divided_2Lane_0+",IF(_xlfn.NUMBERVALUE($I13)&lt;5,IF(_xlfn.NUMBERVALUE($K13)&lt;10001,"S_R_Non_Divided_4Lane_0-10000",IF(_xlfn.NUMBERVALUE($K13)&lt;17501,"S_R_Non_Divided_4Lane_10001-17500","S_R_Non_Divided_4Lane_17501+")),"S_R_Non_Divided_5+Lane_0+")),
IF($G13="Undivided",IF(_xlfn.NUMBERVALUE($I13)&lt;3,IF(_xlfn.NUMBERVALUE($K13)&lt;1501,"S_R_Non_Undivided_2Lane_0-1500",IF(_xlfn.NUMBERVALUE($K13)&lt;3501,"S_R_Non_Undivided_2Lane_1501-3500",IF(_xlfn.NUMBERVALUE($K13)&lt;7001,"S_R_Non_Undivided_2Lane_3501-7000","S_R_Non_Undivided_2Lane_7001+"))),"S_R_Non_Undivided_3+Lanes_0+"),"Data Error: Divided/Undivided")))),
IF($F13="Freeway",IF(_xlfn.NUMBERVALUE($K13)&lt;1,"S_R_Free_DataError",
IF($G13="Undivided","S_R_Free_Undivided_1+Lane_0+",
IF($G13="Divided",IF(_xlfn.NUMBERVALUE($I13)&lt;3,"S_R_Free_Divided_2Lane_501+",IF(_xlfn.NUMBERVALUE($I13)&lt;5,IF(_xlfn.NUMBERVALUE($K13)&lt;15001,"S_R_Free_Divided_4Lane_501-15000",IF(_xlfn.NUMBERVALUE($K13)&lt;30001,"S_R_Free_Divided_4Lane_15001-30000","S_R_Free_Divided_4Lane_30001+")),"S_R_Free_Divided_5+Lane_0+")),"Data Error: Divided/Undivided"))),"Data Error: Freeway/Non-Freeway")),
IF($E13="Urban",
IF($F13="Non-Freeway",IF(_xlfn.NUMBERVALUE($K13)&lt;1,"S_U_Non_DataError",IF($H13="TWLTL","S_U_Non_TWLTL_1+Lanes_0+",
IF($G13="Divided",IF(_xlfn.NUMBERVALUE($I13)&lt;3,"S_U_Non_Divided_2Lane_0+",IF(_xlfn.NUMBERVALUE($I13)&lt;5,IF(_xlfn.NUMBERVALUE($K13)&lt;8001,"S_U_Non_Divided_4Lane_0-8000",IF(_xlfn.NUMBERVALUE($K13)&lt;17501,"S_U_Non_Divided_4Lane_8001-17500",IF(_xlfn.NUMBERVALUE($K13)&lt;24001,"S_U_Non_Divided_4Lane_17501-24000","S_U_Non_Divided_4Lane_24001+"))),"S_U_Non_Divided_5+Lane_0+")),
IF($G13="Undivided",IF(_xlfn.NUMBERVALUE($I13)&lt;3,IF(_xlfn.NUMBERVALUE($K13)&lt;4501,"S_U_Non_Undivided_2Lane_0-4500",IF(_xlfn.NUMBERVALUE($K13)&lt;7001,"S_U_Non_Undivided_2Lane_4501-7000","S_U_Non_Undivided_2Lane_7001+")),"S_U_Non_Undivided_4Lane_0+"),"Data Error: Divided/Undivided")))),
IF($F13="Freeway",IF(_xlfn.NUMBERVALUE($K13)&lt;1,"S_U_Free_DataError",
IF($G13="Undivided","S_U_Free_Undivided_1+Lane_0+",
IF($G13="Divided",IF(_xlfn.NUMBERVALUE($I13)&lt;3,"S_U_Free_Divided_2Lane_501+",IF(_xlfn.NUMBERVALUE($I13)&lt;5,IF(_xlfn.NUMBERVALUE($K13)&lt;20001,"S_U_Free_Divided_4Lane_501-20000",IF(_xlfn.NUMBERVALUE($K13)&lt;35001,"S_U_Free_Divided_4Lane_20001-35000","S_U_Free_Divided_4Lane_35001+")),IF(_xlfn.NUMBERVALUE($I13)&lt;7,"S_U_Free_Divided_6Lane_0+","S_U_Free_Divided_7+Lane_0+"))),"Data Error: Divided/Undivided"))),"Data Error: Freeway/Non-Freeway")),"Data Error: Area Type")),"Data Error: Roadway System")))</f>
        <v>Data Error: Number of Lanes</v>
      </c>
      <c r="AA13" s="108" t="str">
        <f>IFERROR(VLOOKUP($Z13,SegAWS[],HLOOKUP("KABC Scaler",SegAWS[],2,FALSE),FALSE),"Data Error")</f>
        <v>Data Error</v>
      </c>
      <c r="AB13" s="43">
        <f t="shared" ref="AB13:AB16" si="21">SUM(Q13:V13)</f>
        <v>0</v>
      </c>
      <c r="AC13" s="42" t="str">
        <f>IF($J13="","Data Error: Segment Length",
IF(VLOOKUP($Z13,SegAWS[],HLOOKUP("Equation Form",SegAWS[],2,FALSE),FALSE)="Form 1",(((VLOOKUP($Z13,SegAWS[],HLOOKUP("Form 1 Num",SegAWS[],2,FALSE),FALSE))/(1 + EXP(-((VLOOKUP($Z13,SegAWS[],HLOOKUP("Form 1 Exp Coeff",SegAWS[],2,FALSE),FALSE))*($K13-(VLOOKUP($Z13,SegAWS[],HLOOKUP("Form 1 AADT Coeff",SegAWS[],2,FALSE),FALSE)))))))+(VLOOKUP($Z13,SegAWS[],HLOOKUP("Form 1 End Factor",SegAWS[],2,FALSE),FALSE)))*$X13*$J13,
IF(VLOOKUP($Z13,SegAWS[],HLOOKUP("Equation Form",SegAWS[],2,FALSE),FALSE)="Form 2",(EXP((VLOOKUP($Z13,SegAWS[],HLOOKUP("Form 2 Exp Coeff",SegAWS[],2,FALSE),FALSE)))*($K13^(VLOOKUP($Z13,SegAWS[],HLOOKUP("Form 2 AADT Coeff",SegAWS[],2,FALSE),FALSE))))*$X13*$J13,"Data Error: SPF Lookup Name")))</f>
        <v>Data Error: Segment Length</v>
      </c>
      <c r="AD13" s="42" t="e">
        <f>((1/(1+VLOOKUP($Z13,SegAWS[],HLOOKUP("Dispersion Parameter",SegAWS[],2,FALSE),FALSE)*AC13))*AC13
+(1-1/(1+VLOOKUP($Z13,SegAWS[],HLOOKUP("Dispersion Parameter",SegAWS[],2,FALSE),FALSE)*AC13))*AB13)</f>
        <v>#N/A</v>
      </c>
      <c r="AE13" s="43">
        <f t="shared" ref="AE13:AE16" si="22">SUM(Q13:T13)</f>
        <v>0</v>
      </c>
      <c r="AF13" s="42" t="e">
        <f t="shared" ref="AF13:AF16" si="23">$AC13*$AA13</f>
        <v>#VALUE!</v>
      </c>
      <c r="AG13" s="42" t="e">
        <f>((1/(1+VLOOKUP($Z13,SegAWS[],HLOOKUP("Dispersion Parameter",SegAWS[],2,FALSE),FALSE)*AF13))*AF13
+(1-1/(1+VLOOKUP($Z13,SegAWS[],HLOOKUP("Dispersion Parameter",SegAWS[],2,FALSE),FALSE)*AF13))*AE13)</f>
        <v>#N/A</v>
      </c>
      <c r="AH13" s="60">
        <f t="shared" ref="AH13:AH16" si="24">A13</f>
        <v>0</v>
      </c>
      <c r="AI13" s="60" t="str">
        <f t="shared" ref="AI13:AI16" si="25">IFERROR(IF(AD13&lt;_xlfn.GAMMA.INV($AT$4,AT13,AU13),"LOSS 1",
IF(AD13&lt;AC13,"LOSS 2",
IF(AD13&lt;_xlfn.GAMMA.INV($AV$4,AT13,AU13),"LOSS 3",
IF(AD13&gt;=_xlfn.GAMMA.INV($AV$4,AT13,AU13),"LOSS 4","Error")))),"Missing Data")</f>
        <v>Missing Data</v>
      </c>
      <c r="AJ13" s="42" t="str">
        <f t="shared" ref="AJ13:AJ16" si="26">IFERROR(AD13-AC13,"Missing Data")</f>
        <v>Missing Data</v>
      </c>
      <c r="AK13" s="60" t="str">
        <f t="shared" ref="AK13:AK16" si="27">IFERROR(IF(AG13&lt;_xlfn.GAMMA.INV($AU$4,AV13,AW13),"LOSS 1",
IF(AG13&lt;AF13,"LOSS 2",
IF(AG13&lt;_xlfn.GAMMA.INV($AW$4,AV13,AW13),"LOSS 3",
IF(AG13&gt;=_xlfn.GAMMA.INV($AW$4,AV13,AW13),"LOSS 4","Error")))),"Missing Data")</f>
        <v>Missing Data</v>
      </c>
      <c r="AL13" s="42" t="str">
        <f t="shared" ref="AL13:AL16" si="28">IFERROR(AG13-AF13,"Missing Data")</f>
        <v>Missing Data</v>
      </c>
      <c r="AM13" s="43">
        <f t="shared" ref="AM13:AM16" si="29">O13</f>
        <v>0</v>
      </c>
      <c r="AN13" s="43">
        <f t="shared" ref="AN13:AN16" si="30">P13</f>
        <v>0</v>
      </c>
      <c r="AO13" s="60" t="str">
        <f t="shared" ref="AO13:AO16" si="31">IF(OR(AI13="Missing Data",AJ13="Missing Data",AK13="Missing Data",AL13="Missing Data"),"Missing Data",
IF(OR(AM13&gt;0,AN13&gt;0,AND(AB13&gt;1,OR(AI13="LOSS 4", AK13="LOSS 4"))),"Yes","No"))</f>
        <v>Missing Data</v>
      </c>
      <c r="AP13" s="106"/>
      <c r="AQ13" s="106"/>
      <c r="AR13" s="42" t="e">
        <f>VLOOKUP($Z13,SegAWS[],HLOOKUP("Dispersion Parameter",SegAWS[],2,FALSE),FALSE)</f>
        <v>#N/A</v>
      </c>
      <c r="AS13" s="42" t="e">
        <f>VLOOKUP($Z13,SegAWS[],HLOOKUP("Dispersion Parameter",SegAWS[],2,FALSE),FALSE)</f>
        <v>#N/A</v>
      </c>
      <c r="AT13" s="42" t="e">
        <f t="shared" ref="AT13:AT16" si="32">1/AR13</f>
        <v>#N/A</v>
      </c>
      <c r="AU13" s="42" t="e">
        <f t="shared" ref="AU13:AU16" si="33">AC13/AT13</f>
        <v>#VALUE!</v>
      </c>
      <c r="AV13" s="42" t="e">
        <f t="shared" ref="AV13:AV16" si="34">1/AS13</f>
        <v>#N/A</v>
      </c>
      <c r="AW13" s="42" t="e">
        <f t="shared" ref="AW13:AW16" si="35">AF13/AV13</f>
        <v>#VALUE!</v>
      </c>
    </row>
    <row r="14" spans="1:71" x14ac:dyDescent="0.3">
      <c r="A14" s="109"/>
      <c r="B14" s="60"/>
      <c r="C14" s="60"/>
      <c r="D14" s="60"/>
      <c r="E14" s="60"/>
      <c r="F14" s="60"/>
      <c r="G14" s="60"/>
      <c r="H14" s="60"/>
      <c r="I14" s="43"/>
      <c r="J14" s="42"/>
      <c r="K14" s="43"/>
      <c r="L14" s="60"/>
      <c r="M14" s="60"/>
      <c r="N14" s="60"/>
      <c r="O14" s="43"/>
      <c r="P14" s="43"/>
      <c r="Q14" s="43"/>
      <c r="R14" s="43"/>
      <c r="S14" s="43"/>
      <c r="T14" s="43"/>
      <c r="U14" s="43"/>
      <c r="V14" s="43"/>
      <c r="W14" s="60" t="str">
        <f t="shared" si="18"/>
        <v/>
      </c>
      <c r="X14" s="43">
        <f t="shared" si="19"/>
        <v>5</v>
      </c>
      <c r="Y14" s="91" t="e">
        <f>VLOOKUP(Z14,SegAWS[],HLOOKUP("AWS Name",SegAWS[],2,FALSE),FALSE)</f>
        <v>#N/A</v>
      </c>
      <c r="Z14" s="91" t="str">
        <f t="shared" si="20"/>
        <v>Data Error: Number of Lanes</v>
      </c>
      <c r="AA14" s="108" t="str">
        <f>IFERROR(VLOOKUP($Z14,SegAWS[],HLOOKUP("KABC Scaler",SegAWS[],2,FALSE),FALSE),"Data Error")</f>
        <v>Data Error</v>
      </c>
      <c r="AB14" s="43">
        <f t="shared" si="21"/>
        <v>0</v>
      </c>
      <c r="AC14" s="42" t="str">
        <f>IF($J14="","Data Error: Segment Length",
IF(VLOOKUP($Z14,SegAWS[],HLOOKUP("Equation Form",SegAWS[],2,FALSE),FALSE)="Form 1",(((VLOOKUP($Z14,SegAWS[],HLOOKUP("Form 1 Num",SegAWS[],2,FALSE),FALSE))/(1 + EXP(-((VLOOKUP($Z14,SegAWS[],HLOOKUP("Form 1 Exp Coeff",SegAWS[],2,FALSE),FALSE))*($K14-(VLOOKUP($Z14,SegAWS[],HLOOKUP("Form 1 AADT Coeff",SegAWS[],2,FALSE),FALSE)))))))+(VLOOKUP($Z14,SegAWS[],HLOOKUP("Form 1 End Factor",SegAWS[],2,FALSE),FALSE)))*$X14*$J14,
IF(VLOOKUP($Z14,SegAWS[],HLOOKUP("Equation Form",SegAWS[],2,FALSE),FALSE)="Form 2",(EXP((VLOOKUP($Z14,SegAWS[],HLOOKUP("Form 2 Exp Coeff",SegAWS[],2,FALSE),FALSE)))*($K14^(VLOOKUP($Z14,SegAWS[],HLOOKUP("Form 2 AADT Coeff",SegAWS[],2,FALSE),FALSE))))*$X14*$J14,"Data Error: SPF Lookup Name")))</f>
        <v>Data Error: Segment Length</v>
      </c>
      <c r="AD14" s="42" t="e">
        <f>((1/(1+VLOOKUP($Z14,SegAWS[],HLOOKUP("Dispersion Parameter",SegAWS[],2,FALSE),FALSE)*AC14))*AC14
+(1-1/(1+VLOOKUP($Z14,SegAWS[],HLOOKUP("Dispersion Parameter",SegAWS[],2,FALSE),FALSE)*AC14))*AB14)</f>
        <v>#N/A</v>
      </c>
      <c r="AE14" s="43">
        <f t="shared" si="22"/>
        <v>0</v>
      </c>
      <c r="AF14" s="42" t="e">
        <f t="shared" si="23"/>
        <v>#VALUE!</v>
      </c>
      <c r="AG14" s="42" t="e">
        <f>((1/(1+VLOOKUP($Z14,SegAWS[],HLOOKUP("Dispersion Parameter",SegAWS[],2,FALSE),FALSE)*AF14))*AF14
+(1-1/(1+VLOOKUP($Z14,SegAWS[],HLOOKUP("Dispersion Parameter",SegAWS[],2,FALSE),FALSE)*AF14))*AE14)</f>
        <v>#N/A</v>
      </c>
      <c r="AH14" s="60">
        <f t="shared" si="24"/>
        <v>0</v>
      </c>
      <c r="AI14" s="60" t="str">
        <f t="shared" si="25"/>
        <v>Missing Data</v>
      </c>
      <c r="AJ14" s="42" t="str">
        <f t="shared" si="26"/>
        <v>Missing Data</v>
      </c>
      <c r="AK14" s="60" t="str">
        <f t="shared" si="27"/>
        <v>Missing Data</v>
      </c>
      <c r="AL14" s="42" t="str">
        <f t="shared" si="28"/>
        <v>Missing Data</v>
      </c>
      <c r="AM14" s="43">
        <f t="shared" si="29"/>
        <v>0</v>
      </c>
      <c r="AN14" s="43">
        <f t="shared" si="30"/>
        <v>0</v>
      </c>
      <c r="AO14" s="60" t="str">
        <f t="shared" si="31"/>
        <v>Missing Data</v>
      </c>
      <c r="AP14" s="106"/>
      <c r="AQ14" s="106"/>
      <c r="AR14" s="42" t="e">
        <f>VLOOKUP($Z14,SegAWS[],HLOOKUP("Dispersion Parameter",SegAWS[],2,FALSE),FALSE)</f>
        <v>#N/A</v>
      </c>
      <c r="AS14" s="42" t="e">
        <f>VLOOKUP($Z14,SegAWS[],HLOOKUP("Dispersion Parameter",SegAWS[],2,FALSE),FALSE)</f>
        <v>#N/A</v>
      </c>
      <c r="AT14" s="42" t="e">
        <f t="shared" si="32"/>
        <v>#N/A</v>
      </c>
      <c r="AU14" s="42" t="e">
        <f t="shared" si="33"/>
        <v>#VALUE!</v>
      </c>
      <c r="AV14" s="42" t="e">
        <f t="shared" si="34"/>
        <v>#N/A</v>
      </c>
      <c r="AW14" s="42" t="e">
        <f t="shared" si="35"/>
        <v>#VALUE!</v>
      </c>
    </row>
    <row r="15" spans="1:71" x14ac:dyDescent="0.3">
      <c r="A15" s="109"/>
      <c r="B15" s="60"/>
      <c r="C15" s="60"/>
      <c r="D15" s="60"/>
      <c r="E15" s="60"/>
      <c r="F15" s="60"/>
      <c r="G15" s="60"/>
      <c r="H15" s="60"/>
      <c r="I15" s="43"/>
      <c r="J15" s="42"/>
      <c r="K15" s="43"/>
      <c r="L15" s="60"/>
      <c r="M15" s="60"/>
      <c r="N15" s="60"/>
      <c r="O15" s="43"/>
      <c r="P15" s="43"/>
      <c r="Q15" s="43"/>
      <c r="R15" s="43"/>
      <c r="S15" s="43"/>
      <c r="T15" s="43"/>
      <c r="U15" s="43"/>
      <c r="V15" s="43"/>
      <c r="W15" s="60" t="str">
        <f t="shared" si="18"/>
        <v/>
      </c>
      <c r="X15" s="43">
        <f t="shared" si="19"/>
        <v>5</v>
      </c>
      <c r="Y15" s="91" t="e">
        <f>VLOOKUP(Z15,SegAWS[],HLOOKUP("AWS Name",SegAWS[],2,FALSE),FALSE)</f>
        <v>#N/A</v>
      </c>
      <c r="Z15" s="91" t="str">
        <f t="shared" si="20"/>
        <v>Data Error: Number of Lanes</v>
      </c>
      <c r="AA15" s="108" t="str">
        <f>IFERROR(VLOOKUP($Z15,SegAWS[],HLOOKUP("KABC Scaler",SegAWS[],2,FALSE),FALSE),"Data Error")</f>
        <v>Data Error</v>
      </c>
      <c r="AB15" s="43">
        <f t="shared" si="21"/>
        <v>0</v>
      </c>
      <c r="AC15" s="42" t="str">
        <f>IF($J15="","Data Error: Segment Length",
IF(VLOOKUP($Z15,SegAWS[],HLOOKUP("Equation Form",SegAWS[],2,FALSE),FALSE)="Form 1",(((VLOOKUP($Z15,SegAWS[],HLOOKUP("Form 1 Num",SegAWS[],2,FALSE),FALSE))/(1 + EXP(-((VLOOKUP($Z15,SegAWS[],HLOOKUP("Form 1 Exp Coeff",SegAWS[],2,FALSE),FALSE))*($K15-(VLOOKUP($Z15,SegAWS[],HLOOKUP("Form 1 AADT Coeff",SegAWS[],2,FALSE),FALSE)))))))+(VLOOKUP($Z15,SegAWS[],HLOOKUP("Form 1 End Factor",SegAWS[],2,FALSE),FALSE)))*$X15*$J15,
IF(VLOOKUP($Z15,SegAWS[],HLOOKUP("Equation Form",SegAWS[],2,FALSE),FALSE)="Form 2",(EXP((VLOOKUP($Z15,SegAWS[],HLOOKUP("Form 2 Exp Coeff",SegAWS[],2,FALSE),FALSE)))*($K15^(VLOOKUP($Z15,SegAWS[],HLOOKUP("Form 2 AADT Coeff",SegAWS[],2,FALSE),FALSE))))*$X15*$J15,"Data Error: SPF Lookup Name")))</f>
        <v>Data Error: Segment Length</v>
      </c>
      <c r="AD15" s="42" t="e">
        <f>((1/(1+VLOOKUP($Z15,SegAWS[],HLOOKUP("Dispersion Parameter",SegAWS[],2,FALSE),FALSE)*AC15))*AC15
+(1-1/(1+VLOOKUP($Z15,SegAWS[],HLOOKUP("Dispersion Parameter",SegAWS[],2,FALSE),FALSE)*AC15))*AB15)</f>
        <v>#N/A</v>
      </c>
      <c r="AE15" s="43">
        <f t="shared" si="22"/>
        <v>0</v>
      </c>
      <c r="AF15" s="42" t="e">
        <f t="shared" si="23"/>
        <v>#VALUE!</v>
      </c>
      <c r="AG15" s="42" t="e">
        <f>((1/(1+VLOOKUP($Z15,SegAWS[],HLOOKUP("Dispersion Parameter",SegAWS[],2,FALSE),FALSE)*AF15))*AF15
+(1-1/(1+VLOOKUP($Z15,SegAWS[],HLOOKUP("Dispersion Parameter",SegAWS[],2,FALSE),FALSE)*AF15))*AE15)</f>
        <v>#N/A</v>
      </c>
      <c r="AH15" s="60">
        <f t="shared" si="24"/>
        <v>0</v>
      </c>
      <c r="AI15" s="60" t="str">
        <f t="shared" si="25"/>
        <v>Missing Data</v>
      </c>
      <c r="AJ15" s="42" t="str">
        <f t="shared" si="26"/>
        <v>Missing Data</v>
      </c>
      <c r="AK15" s="60" t="str">
        <f t="shared" si="27"/>
        <v>Missing Data</v>
      </c>
      <c r="AL15" s="42" t="str">
        <f t="shared" si="28"/>
        <v>Missing Data</v>
      </c>
      <c r="AM15" s="43">
        <f t="shared" si="29"/>
        <v>0</v>
      </c>
      <c r="AN15" s="43">
        <f t="shared" si="30"/>
        <v>0</v>
      </c>
      <c r="AO15" s="60" t="str">
        <f t="shared" si="31"/>
        <v>Missing Data</v>
      </c>
      <c r="AP15" s="106"/>
      <c r="AQ15" s="106"/>
      <c r="AR15" s="42" t="e">
        <f>VLOOKUP($Z15,SegAWS[],HLOOKUP("Dispersion Parameter",SegAWS[],2,FALSE),FALSE)</f>
        <v>#N/A</v>
      </c>
      <c r="AS15" s="42" t="e">
        <f>VLOOKUP($Z15,SegAWS[],HLOOKUP("Dispersion Parameter",SegAWS[],2,FALSE),FALSE)</f>
        <v>#N/A</v>
      </c>
      <c r="AT15" s="42" t="e">
        <f t="shared" si="32"/>
        <v>#N/A</v>
      </c>
      <c r="AU15" s="42" t="e">
        <f t="shared" si="33"/>
        <v>#VALUE!</v>
      </c>
      <c r="AV15" s="42" t="e">
        <f t="shared" si="34"/>
        <v>#N/A</v>
      </c>
      <c r="AW15" s="42" t="e">
        <f t="shared" si="35"/>
        <v>#VALUE!</v>
      </c>
    </row>
    <row r="16" spans="1:71" x14ac:dyDescent="0.3">
      <c r="A16" s="109"/>
      <c r="B16" s="60"/>
      <c r="C16" s="60"/>
      <c r="D16" s="60"/>
      <c r="E16" s="60"/>
      <c r="F16" s="60"/>
      <c r="G16" s="60"/>
      <c r="H16" s="60"/>
      <c r="I16" s="43"/>
      <c r="J16" s="42"/>
      <c r="K16" s="43"/>
      <c r="L16" s="60"/>
      <c r="M16" s="60"/>
      <c r="N16" s="60"/>
      <c r="O16" s="43"/>
      <c r="P16" s="43"/>
      <c r="Q16" s="43"/>
      <c r="R16" s="43"/>
      <c r="S16" s="43"/>
      <c r="T16" s="43"/>
      <c r="U16" s="43"/>
      <c r="V16" s="43"/>
      <c r="W16" s="60" t="str">
        <f t="shared" si="18"/>
        <v/>
      </c>
      <c r="X16" s="43">
        <f t="shared" si="19"/>
        <v>5</v>
      </c>
      <c r="Y16" s="91" t="e">
        <f>VLOOKUP(Z16,SegAWS[],HLOOKUP("AWS Name",SegAWS[],2,FALSE),FALSE)</f>
        <v>#N/A</v>
      </c>
      <c r="Z16" s="91" t="str">
        <f t="shared" si="20"/>
        <v>Data Error: Number of Lanes</v>
      </c>
      <c r="AA16" s="108" t="str">
        <f>IFERROR(VLOOKUP($Z16,SegAWS[],HLOOKUP("KABC Scaler",SegAWS[],2,FALSE),FALSE),"Data Error")</f>
        <v>Data Error</v>
      </c>
      <c r="AB16" s="43">
        <f t="shared" si="21"/>
        <v>0</v>
      </c>
      <c r="AC16" s="42" t="str">
        <f>IF($J16="","Data Error: Segment Length",
IF(VLOOKUP($Z16,SegAWS[],HLOOKUP("Equation Form",SegAWS[],2,FALSE),FALSE)="Form 1",(((VLOOKUP($Z16,SegAWS[],HLOOKUP("Form 1 Num",SegAWS[],2,FALSE),FALSE))/(1 + EXP(-((VLOOKUP($Z16,SegAWS[],HLOOKUP("Form 1 Exp Coeff",SegAWS[],2,FALSE),FALSE))*($K16-(VLOOKUP($Z16,SegAWS[],HLOOKUP("Form 1 AADT Coeff",SegAWS[],2,FALSE),FALSE)))))))+(VLOOKUP($Z16,SegAWS[],HLOOKUP("Form 1 End Factor",SegAWS[],2,FALSE),FALSE)))*$X16*$J16,
IF(VLOOKUP($Z16,SegAWS[],HLOOKUP("Equation Form",SegAWS[],2,FALSE),FALSE)="Form 2",(EXP((VLOOKUP($Z16,SegAWS[],HLOOKUP("Form 2 Exp Coeff",SegAWS[],2,FALSE),FALSE)))*($K16^(VLOOKUP($Z16,SegAWS[],HLOOKUP("Form 2 AADT Coeff",SegAWS[],2,FALSE),FALSE))))*$X16*$J16,"Data Error: SPF Lookup Name")))</f>
        <v>Data Error: Segment Length</v>
      </c>
      <c r="AD16" s="42" t="e">
        <f>((1/(1+VLOOKUP($Z16,SegAWS[],HLOOKUP("Dispersion Parameter",SegAWS[],2,FALSE),FALSE)*AC16))*AC16
+(1-1/(1+VLOOKUP($Z16,SegAWS[],HLOOKUP("Dispersion Parameter",SegAWS[],2,FALSE),FALSE)*AC16))*AB16)</f>
        <v>#N/A</v>
      </c>
      <c r="AE16" s="43">
        <f t="shared" si="22"/>
        <v>0</v>
      </c>
      <c r="AF16" s="42" t="e">
        <f t="shared" si="23"/>
        <v>#VALUE!</v>
      </c>
      <c r="AG16" s="42" t="e">
        <f>((1/(1+VLOOKUP($Z16,SegAWS[],HLOOKUP("Dispersion Parameter",SegAWS[],2,FALSE),FALSE)*AF16))*AF16
+(1-1/(1+VLOOKUP($Z16,SegAWS[],HLOOKUP("Dispersion Parameter",SegAWS[],2,FALSE),FALSE)*AF16))*AE16)</f>
        <v>#N/A</v>
      </c>
      <c r="AH16" s="60">
        <f t="shared" si="24"/>
        <v>0</v>
      </c>
      <c r="AI16" s="60" t="str">
        <f t="shared" si="25"/>
        <v>Missing Data</v>
      </c>
      <c r="AJ16" s="42" t="str">
        <f t="shared" si="26"/>
        <v>Missing Data</v>
      </c>
      <c r="AK16" s="60" t="str">
        <f t="shared" si="27"/>
        <v>Missing Data</v>
      </c>
      <c r="AL16" s="42" t="str">
        <f t="shared" si="28"/>
        <v>Missing Data</v>
      </c>
      <c r="AM16" s="43">
        <f t="shared" si="29"/>
        <v>0</v>
      </c>
      <c r="AN16" s="43">
        <f t="shared" si="30"/>
        <v>0</v>
      </c>
      <c r="AO16" s="60" t="str">
        <f t="shared" si="31"/>
        <v>Missing Data</v>
      </c>
      <c r="AP16" s="106"/>
      <c r="AQ16" s="106"/>
      <c r="AR16" s="42" t="e">
        <f>VLOOKUP($Z16,SegAWS[],HLOOKUP("Dispersion Parameter",SegAWS[],2,FALSE),FALSE)</f>
        <v>#N/A</v>
      </c>
      <c r="AS16" s="42" t="e">
        <f>VLOOKUP($Z16,SegAWS[],HLOOKUP("Dispersion Parameter",SegAWS[],2,FALSE),FALSE)</f>
        <v>#N/A</v>
      </c>
      <c r="AT16" s="42" t="e">
        <f t="shared" si="32"/>
        <v>#N/A</v>
      </c>
      <c r="AU16" s="42" t="e">
        <f t="shared" si="33"/>
        <v>#VALUE!</v>
      </c>
      <c r="AV16" s="42" t="e">
        <f t="shared" si="34"/>
        <v>#N/A</v>
      </c>
      <c r="AW16" s="42" t="e">
        <f t="shared" si="35"/>
        <v>#VALUE!</v>
      </c>
    </row>
    <row r="17" spans="1:49" x14ac:dyDescent="0.3">
      <c r="A17" s="109"/>
      <c r="B17" s="60"/>
      <c r="C17" s="60"/>
      <c r="D17" s="60"/>
      <c r="E17" s="60"/>
      <c r="F17" s="60"/>
      <c r="G17" s="60"/>
      <c r="H17" s="60"/>
      <c r="I17" s="43"/>
      <c r="J17" s="42"/>
      <c r="K17" s="43"/>
      <c r="L17" s="60"/>
      <c r="M17" s="60"/>
      <c r="N17" s="60"/>
      <c r="O17" s="43"/>
      <c r="P17" s="43"/>
      <c r="Q17" s="43"/>
      <c r="R17" s="43"/>
      <c r="S17" s="43"/>
      <c r="T17" s="43"/>
      <c r="U17" s="43"/>
      <c r="V17" s="43"/>
      <c r="W17" s="60" t="str">
        <f t="shared" si="0"/>
        <v/>
      </c>
      <c r="X17" s="43">
        <f t="shared" si="1"/>
        <v>5</v>
      </c>
      <c r="Y17" s="91" t="e">
        <f>VLOOKUP(Z17,SegAWS[],HLOOKUP("AWS Name",SegAWS[],2,FALSE),FALSE)</f>
        <v>#N/A</v>
      </c>
      <c r="Z17" s="91" t="str">
        <f t="shared" si="14"/>
        <v>Data Error: Number of Lanes</v>
      </c>
      <c r="AA17" s="108" t="str">
        <f>IFERROR(VLOOKUP($Z17,SegAWS[],HLOOKUP("KABC Scaler",SegAWS[],2,FALSE),FALSE),"Data Error")</f>
        <v>Data Error</v>
      </c>
      <c r="AB17" s="43">
        <f t="shared" si="2"/>
        <v>0</v>
      </c>
      <c r="AC17" s="42" t="str">
        <f>IF($J17="","Data Error: Segment Length",
IF(VLOOKUP($Z17,SegAWS[],HLOOKUP("Equation Form",SegAWS[],2,FALSE),FALSE)="Form 1",(((VLOOKUP($Z17,SegAWS[],HLOOKUP("Form 1 Num",SegAWS[],2,FALSE),FALSE))/(1 + EXP(-((VLOOKUP($Z17,SegAWS[],HLOOKUP("Form 1 Exp Coeff",SegAWS[],2,FALSE),FALSE))*($K17-(VLOOKUP($Z17,SegAWS[],HLOOKUP("Form 1 AADT Coeff",SegAWS[],2,FALSE),FALSE)))))))+(VLOOKUP($Z17,SegAWS[],HLOOKUP("Form 1 End Factor",SegAWS[],2,FALSE),FALSE)))*$X17*$J17,
IF(VLOOKUP($Z17,SegAWS[],HLOOKUP("Equation Form",SegAWS[],2,FALSE),FALSE)="Form 2",(EXP((VLOOKUP($Z17,SegAWS[],HLOOKUP("Form 2 Exp Coeff",SegAWS[],2,FALSE),FALSE)))*($K17^(VLOOKUP($Z17,SegAWS[],HLOOKUP("Form 2 AADT Coeff",SegAWS[],2,FALSE),FALSE))))*$X17*$J17,"Data Error: SPF Lookup Name")))</f>
        <v>Data Error: Segment Length</v>
      </c>
      <c r="AD17" s="42" t="e">
        <f>((1/(1+VLOOKUP($Z17,SegAWS[],HLOOKUP("Dispersion Parameter",SegAWS[],2,FALSE),FALSE)*AC17))*AC17
+(1-1/(1+VLOOKUP($Z17,SegAWS[],HLOOKUP("Dispersion Parameter",SegAWS[],2,FALSE),FALSE)*AC17))*AB17)</f>
        <v>#N/A</v>
      </c>
      <c r="AE17" s="43">
        <f t="shared" si="3"/>
        <v>0</v>
      </c>
      <c r="AF17" s="42" t="e">
        <f t="shared" si="15"/>
        <v>#VALUE!</v>
      </c>
      <c r="AG17" s="42" t="e">
        <f>((1/(1+VLOOKUP($Z17,SegAWS[],HLOOKUP("Dispersion Parameter",SegAWS[],2,FALSE),FALSE)*AF17))*AF17
+(1-1/(1+VLOOKUP($Z17,SegAWS[],HLOOKUP("Dispersion Parameter",SegAWS[],2,FALSE),FALSE)*AF17))*AE17)</f>
        <v>#N/A</v>
      </c>
      <c r="AH17" s="60">
        <f t="shared" si="4"/>
        <v>0</v>
      </c>
      <c r="AI17" s="60" t="str">
        <f t="shared" si="5"/>
        <v>Missing Data</v>
      </c>
      <c r="AJ17" s="42" t="str">
        <f t="shared" si="6"/>
        <v>Missing Data</v>
      </c>
      <c r="AK17" s="60" t="str">
        <f t="shared" si="7"/>
        <v>Missing Data</v>
      </c>
      <c r="AL17" s="42" t="str">
        <f t="shared" si="8"/>
        <v>Missing Data</v>
      </c>
      <c r="AM17" s="43">
        <f t="shared" si="9"/>
        <v>0</v>
      </c>
      <c r="AN17" s="43">
        <f t="shared" si="10"/>
        <v>0</v>
      </c>
      <c r="AO17" s="60" t="str">
        <f t="shared" si="11"/>
        <v>Missing Data</v>
      </c>
      <c r="AP17" s="106"/>
      <c r="AQ17" s="106"/>
      <c r="AR17" s="42" t="e">
        <f>VLOOKUP($Z17,SegAWS[],HLOOKUP("Dispersion Parameter",SegAWS[],2,FALSE),FALSE)</f>
        <v>#N/A</v>
      </c>
      <c r="AS17" s="42" t="e">
        <f>VLOOKUP($Z17,SegAWS[],HLOOKUP("Dispersion Parameter",SegAWS[],2,FALSE),FALSE)</f>
        <v>#N/A</v>
      </c>
      <c r="AT17" s="42" t="e">
        <f t="shared" si="16"/>
        <v>#N/A</v>
      </c>
      <c r="AU17" s="42" t="e">
        <f t="shared" si="12"/>
        <v>#VALUE!</v>
      </c>
      <c r="AV17" s="42" t="e">
        <f t="shared" si="17"/>
        <v>#N/A</v>
      </c>
      <c r="AW17" s="42" t="e">
        <f t="shared" si="13"/>
        <v>#VALUE!</v>
      </c>
    </row>
    <row r="18" spans="1:49" x14ac:dyDescent="0.3">
      <c r="A18" s="109"/>
      <c r="B18" s="60"/>
      <c r="C18" s="60"/>
      <c r="D18" s="60"/>
      <c r="E18" s="60"/>
      <c r="F18" s="60"/>
      <c r="G18" s="60"/>
      <c r="H18" s="60"/>
      <c r="I18" s="43"/>
      <c r="J18" s="42"/>
      <c r="K18" s="43"/>
      <c r="L18" s="60"/>
      <c r="M18" s="60"/>
      <c r="N18" s="60"/>
      <c r="O18" s="43"/>
      <c r="P18" s="43"/>
      <c r="Q18" s="43"/>
      <c r="R18" s="43"/>
      <c r="S18" s="43"/>
      <c r="T18" s="43"/>
      <c r="U18" s="43"/>
      <c r="V18" s="43"/>
      <c r="W18" s="60" t="str">
        <f t="shared" si="0"/>
        <v/>
      </c>
      <c r="X18" s="43">
        <f t="shared" si="1"/>
        <v>5</v>
      </c>
      <c r="Y18" s="91" t="e">
        <f>VLOOKUP(Z18,SegAWS[],HLOOKUP("AWS Name",SegAWS[],2,FALSE),FALSE)</f>
        <v>#N/A</v>
      </c>
      <c r="Z18" s="91" t="str">
        <f t="shared" si="14"/>
        <v>Data Error: Number of Lanes</v>
      </c>
      <c r="AA18" s="108" t="str">
        <f>IFERROR(VLOOKUP($Z18,SegAWS[],HLOOKUP("KABC Scaler",SegAWS[],2,FALSE),FALSE),"Data Error")</f>
        <v>Data Error</v>
      </c>
      <c r="AB18" s="43">
        <f t="shared" si="2"/>
        <v>0</v>
      </c>
      <c r="AC18" s="42" t="str">
        <f>IF($J18="","Data Error: Segment Length",
IF(VLOOKUP($Z18,SegAWS[],HLOOKUP("Equation Form",SegAWS[],2,FALSE),FALSE)="Form 1",(((VLOOKUP($Z18,SegAWS[],HLOOKUP("Form 1 Num",SegAWS[],2,FALSE),FALSE))/(1 + EXP(-((VLOOKUP($Z18,SegAWS[],HLOOKUP("Form 1 Exp Coeff",SegAWS[],2,FALSE),FALSE))*($K18-(VLOOKUP($Z18,SegAWS[],HLOOKUP("Form 1 AADT Coeff",SegAWS[],2,FALSE),FALSE)))))))+(VLOOKUP($Z18,SegAWS[],HLOOKUP("Form 1 End Factor",SegAWS[],2,FALSE),FALSE)))*$X18*$J18,
IF(VLOOKUP($Z18,SegAWS[],HLOOKUP("Equation Form",SegAWS[],2,FALSE),FALSE)="Form 2",(EXP((VLOOKUP($Z18,SegAWS[],HLOOKUP("Form 2 Exp Coeff",SegAWS[],2,FALSE),FALSE)))*($K18^(VLOOKUP($Z18,SegAWS[],HLOOKUP("Form 2 AADT Coeff",SegAWS[],2,FALSE),FALSE))))*$X18*$J18,"Data Error: SPF Lookup Name")))</f>
        <v>Data Error: Segment Length</v>
      </c>
      <c r="AD18" s="42" t="e">
        <f>((1/(1+VLOOKUP($Z18,SegAWS[],HLOOKUP("Dispersion Parameter",SegAWS[],2,FALSE),FALSE)*AC18))*AC18
+(1-1/(1+VLOOKUP($Z18,SegAWS[],HLOOKUP("Dispersion Parameter",SegAWS[],2,FALSE),FALSE)*AC18))*AB18)</f>
        <v>#N/A</v>
      </c>
      <c r="AE18" s="43">
        <f t="shared" si="3"/>
        <v>0</v>
      </c>
      <c r="AF18" s="42" t="e">
        <f t="shared" si="15"/>
        <v>#VALUE!</v>
      </c>
      <c r="AG18" s="42" t="e">
        <f>((1/(1+VLOOKUP($Z18,SegAWS[],HLOOKUP("Dispersion Parameter",SegAWS[],2,FALSE),FALSE)*AF18))*AF18
+(1-1/(1+VLOOKUP($Z18,SegAWS[],HLOOKUP("Dispersion Parameter",SegAWS[],2,FALSE),FALSE)*AF18))*AE18)</f>
        <v>#N/A</v>
      </c>
      <c r="AH18" s="60">
        <f t="shared" si="4"/>
        <v>0</v>
      </c>
      <c r="AI18" s="60" t="str">
        <f t="shared" si="5"/>
        <v>Missing Data</v>
      </c>
      <c r="AJ18" s="42" t="str">
        <f t="shared" si="6"/>
        <v>Missing Data</v>
      </c>
      <c r="AK18" s="60" t="str">
        <f t="shared" si="7"/>
        <v>Missing Data</v>
      </c>
      <c r="AL18" s="42" t="str">
        <f t="shared" si="8"/>
        <v>Missing Data</v>
      </c>
      <c r="AM18" s="43">
        <f t="shared" si="9"/>
        <v>0</v>
      </c>
      <c r="AN18" s="43">
        <f t="shared" si="10"/>
        <v>0</v>
      </c>
      <c r="AO18" s="60" t="str">
        <f t="shared" si="11"/>
        <v>Missing Data</v>
      </c>
      <c r="AP18" s="106"/>
      <c r="AQ18" s="106"/>
      <c r="AR18" s="42" t="e">
        <f>VLOOKUP($Z18,SegAWS[],HLOOKUP("Dispersion Parameter",SegAWS[],2,FALSE),FALSE)</f>
        <v>#N/A</v>
      </c>
      <c r="AS18" s="42" t="e">
        <f>VLOOKUP($Z18,SegAWS[],HLOOKUP("Dispersion Parameter",SegAWS[],2,FALSE),FALSE)</f>
        <v>#N/A</v>
      </c>
      <c r="AT18" s="42" t="e">
        <f t="shared" si="16"/>
        <v>#N/A</v>
      </c>
      <c r="AU18" s="42" t="e">
        <f t="shared" si="12"/>
        <v>#VALUE!</v>
      </c>
      <c r="AV18" s="42" t="e">
        <f t="shared" si="17"/>
        <v>#N/A</v>
      </c>
      <c r="AW18" s="42" t="e">
        <f t="shared" si="13"/>
        <v>#VALUE!</v>
      </c>
    </row>
    <row r="19" spans="1:49" x14ac:dyDescent="0.3">
      <c r="A19" s="109"/>
      <c r="B19" s="60"/>
      <c r="C19" s="60"/>
      <c r="D19" s="60"/>
      <c r="E19" s="60"/>
      <c r="F19" s="60"/>
      <c r="G19" s="60"/>
      <c r="H19" s="60"/>
      <c r="I19" s="43"/>
      <c r="J19" s="42"/>
      <c r="K19" s="43"/>
      <c r="L19" s="60"/>
      <c r="M19" s="60"/>
      <c r="N19" s="60"/>
      <c r="O19" s="43"/>
      <c r="P19" s="43"/>
      <c r="Q19" s="43"/>
      <c r="R19" s="43"/>
      <c r="S19" s="43"/>
      <c r="T19" s="43"/>
      <c r="U19" s="43"/>
      <c r="V19" s="43"/>
      <c r="W19" s="60" t="str">
        <f t="shared" si="0"/>
        <v/>
      </c>
      <c r="X19" s="43">
        <f t="shared" si="1"/>
        <v>5</v>
      </c>
      <c r="Y19" s="91" t="e">
        <f>VLOOKUP(Z19,SegAWS[],HLOOKUP("AWS Name",SegAWS[],2,FALSE),FALSE)</f>
        <v>#N/A</v>
      </c>
      <c r="Z19" s="91" t="str">
        <f t="shared" si="14"/>
        <v>Data Error: Number of Lanes</v>
      </c>
      <c r="AA19" s="108" t="str">
        <f>IFERROR(VLOOKUP($Z19,SegAWS[],HLOOKUP("KABC Scaler",SegAWS[],2,FALSE),FALSE),"Data Error")</f>
        <v>Data Error</v>
      </c>
      <c r="AB19" s="43">
        <f t="shared" si="2"/>
        <v>0</v>
      </c>
      <c r="AC19" s="42" t="str">
        <f>IF($J19="","Data Error: Segment Length",
IF(VLOOKUP($Z19,SegAWS[],HLOOKUP("Equation Form",SegAWS[],2,FALSE),FALSE)="Form 1",(((VLOOKUP($Z19,SegAWS[],HLOOKUP("Form 1 Num",SegAWS[],2,FALSE),FALSE))/(1 + EXP(-((VLOOKUP($Z19,SegAWS[],HLOOKUP("Form 1 Exp Coeff",SegAWS[],2,FALSE),FALSE))*($K19-(VLOOKUP($Z19,SegAWS[],HLOOKUP("Form 1 AADT Coeff",SegAWS[],2,FALSE),FALSE)))))))+(VLOOKUP($Z19,SegAWS[],HLOOKUP("Form 1 End Factor",SegAWS[],2,FALSE),FALSE)))*$X19*$J19,
IF(VLOOKUP($Z19,SegAWS[],HLOOKUP("Equation Form",SegAWS[],2,FALSE),FALSE)="Form 2",(EXP((VLOOKUP($Z19,SegAWS[],HLOOKUP("Form 2 Exp Coeff",SegAWS[],2,FALSE),FALSE)))*($K19^(VLOOKUP($Z19,SegAWS[],HLOOKUP("Form 2 AADT Coeff",SegAWS[],2,FALSE),FALSE))))*$X19*$J19,"Data Error: SPF Lookup Name")))</f>
        <v>Data Error: Segment Length</v>
      </c>
      <c r="AD19" s="42" t="e">
        <f>((1/(1+VLOOKUP($Z19,SegAWS[],HLOOKUP("Dispersion Parameter",SegAWS[],2,FALSE),FALSE)*AC19))*AC19
+(1-1/(1+VLOOKUP($Z19,SegAWS[],HLOOKUP("Dispersion Parameter",SegAWS[],2,FALSE),FALSE)*AC19))*AB19)</f>
        <v>#N/A</v>
      </c>
      <c r="AE19" s="43">
        <f t="shared" si="3"/>
        <v>0</v>
      </c>
      <c r="AF19" s="42" t="e">
        <f t="shared" si="15"/>
        <v>#VALUE!</v>
      </c>
      <c r="AG19" s="42" t="e">
        <f>((1/(1+VLOOKUP($Z19,SegAWS[],HLOOKUP("Dispersion Parameter",SegAWS[],2,FALSE),FALSE)*AF19))*AF19
+(1-1/(1+VLOOKUP($Z19,SegAWS[],HLOOKUP("Dispersion Parameter",SegAWS[],2,FALSE),FALSE)*AF19))*AE19)</f>
        <v>#N/A</v>
      </c>
      <c r="AH19" s="60">
        <f t="shared" si="4"/>
        <v>0</v>
      </c>
      <c r="AI19" s="60" t="str">
        <f t="shared" si="5"/>
        <v>Missing Data</v>
      </c>
      <c r="AJ19" s="42" t="str">
        <f t="shared" si="6"/>
        <v>Missing Data</v>
      </c>
      <c r="AK19" s="60" t="str">
        <f t="shared" si="7"/>
        <v>Missing Data</v>
      </c>
      <c r="AL19" s="42" t="str">
        <f t="shared" si="8"/>
        <v>Missing Data</v>
      </c>
      <c r="AM19" s="43">
        <f t="shared" si="9"/>
        <v>0</v>
      </c>
      <c r="AN19" s="43">
        <f t="shared" si="10"/>
        <v>0</v>
      </c>
      <c r="AO19" s="60" t="str">
        <f t="shared" si="11"/>
        <v>Missing Data</v>
      </c>
      <c r="AP19" s="106"/>
      <c r="AQ19" s="106"/>
      <c r="AR19" s="42" t="e">
        <f>VLOOKUP($Z19,SegAWS[],HLOOKUP("Dispersion Parameter",SegAWS[],2,FALSE),FALSE)</f>
        <v>#N/A</v>
      </c>
      <c r="AS19" s="42" t="e">
        <f>VLOOKUP($Z19,SegAWS[],HLOOKUP("Dispersion Parameter",SegAWS[],2,FALSE),FALSE)</f>
        <v>#N/A</v>
      </c>
      <c r="AT19" s="42" t="e">
        <f t="shared" si="16"/>
        <v>#N/A</v>
      </c>
      <c r="AU19" s="42" t="e">
        <f t="shared" si="12"/>
        <v>#VALUE!</v>
      </c>
      <c r="AV19" s="42" t="e">
        <f t="shared" si="17"/>
        <v>#N/A</v>
      </c>
      <c r="AW19" s="42" t="e">
        <f t="shared" si="13"/>
        <v>#VALUE!</v>
      </c>
    </row>
    <row r="20" spans="1:49" x14ac:dyDescent="0.3">
      <c r="A20" s="109"/>
      <c r="B20" s="60"/>
      <c r="C20" s="60"/>
      <c r="D20" s="60"/>
      <c r="E20" s="60"/>
      <c r="F20" s="60"/>
      <c r="G20" s="60"/>
      <c r="H20" s="60"/>
      <c r="I20" s="43"/>
      <c r="J20" s="42"/>
      <c r="K20" s="43"/>
      <c r="L20" s="60"/>
      <c r="M20" s="60"/>
      <c r="N20" s="60"/>
      <c r="O20" s="43"/>
      <c r="P20" s="43"/>
      <c r="Q20" s="43"/>
      <c r="R20" s="43"/>
      <c r="S20" s="43"/>
      <c r="T20" s="43"/>
      <c r="U20" s="43"/>
      <c r="V20" s="43"/>
      <c r="W20" s="60" t="str">
        <f t="shared" si="0"/>
        <v/>
      </c>
      <c r="X20" s="43">
        <f t="shared" si="1"/>
        <v>5</v>
      </c>
      <c r="Y20" s="91" t="e">
        <f>VLOOKUP(Z20,SegAWS[],HLOOKUP("AWS Name",SegAWS[],2,FALSE),FALSE)</f>
        <v>#N/A</v>
      </c>
      <c r="Z20" s="91" t="str">
        <f t="shared" si="14"/>
        <v>Data Error: Number of Lanes</v>
      </c>
      <c r="AA20" s="108" t="str">
        <f>IFERROR(VLOOKUP($Z20,SegAWS[],HLOOKUP("KABC Scaler",SegAWS[],2,FALSE),FALSE),"Data Error")</f>
        <v>Data Error</v>
      </c>
      <c r="AB20" s="43">
        <f t="shared" si="2"/>
        <v>0</v>
      </c>
      <c r="AC20" s="42" t="str">
        <f>IF($J20="","Data Error: Segment Length",
IF(VLOOKUP($Z20,SegAWS[],HLOOKUP("Equation Form",SegAWS[],2,FALSE),FALSE)="Form 1",(((VLOOKUP($Z20,SegAWS[],HLOOKUP("Form 1 Num",SegAWS[],2,FALSE),FALSE))/(1 + EXP(-((VLOOKUP($Z20,SegAWS[],HLOOKUP("Form 1 Exp Coeff",SegAWS[],2,FALSE),FALSE))*($K20-(VLOOKUP($Z20,SegAWS[],HLOOKUP("Form 1 AADT Coeff",SegAWS[],2,FALSE),FALSE)))))))+(VLOOKUP($Z20,SegAWS[],HLOOKUP("Form 1 End Factor",SegAWS[],2,FALSE),FALSE)))*$X20*$J20,
IF(VLOOKUP($Z20,SegAWS[],HLOOKUP("Equation Form",SegAWS[],2,FALSE),FALSE)="Form 2",(EXP((VLOOKUP($Z20,SegAWS[],HLOOKUP("Form 2 Exp Coeff",SegAWS[],2,FALSE),FALSE)))*($K20^(VLOOKUP($Z20,SegAWS[],HLOOKUP("Form 2 AADT Coeff",SegAWS[],2,FALSE),FALSE))))*$X20*$J20,"Data Error: SPF Lookup Name")))</f>
        <v>Data Error: Segment Length</v>
      </c>
      <c r="AD20" s="42" t="e">
        <f>((1/(1+VLOOKUP($Z20,SegAWS[],HLOOKUP("Dispersion Parameter",SegAWS[],2,FALSE),FALSE)*AC20))*AC20
+(1-1/(1+VLOOKUP($Z20,SegAWS[],HLOOKUP("Dispersion Parameter",SegAWS[],2,FALSE),FALSE)*AC20))*AB20)</f>
        <v>#N/A</v>
      </c>
      <c r="AE20" s="43">
        <f t="shared" si="3"/>
        <v>0</v>
      </c>
      <c r="AF20" s="42" t="e">
        <f t="shared" si="15"/>
        <v>#VALUE!</v>
      </c>
      <c r="AG20" s="42" t="e">
        <f>((1/(1+VLOOKUP($Z20,SegAWS[],HLOOKUP("Dispersion Parameter",SegAWS[],2,FALSE),FALSE)*AF20))*AF20
+(1-1/(1+VLOOKUP($Z20,SegAWS[],HLOOKUP("Dispersion Parameter",SegAWS[],2,FALSE),FALSE)*AF20))*AE20)</f>
        <v>#N/A</v>
      </c>
      <c r="AH20" s="60">
        <f t="shared" si="4"/>
        <v>0</v>
      </c>
      <c r="AI20" s="60" t="str">
        <f t="shared" si="5"/>
        <v>Missing Data</v>
      </c>
      <c r="AJ20" s="42" t="str">
        <f t="shared" si="6"/>
        <v>Missing Data</v>
      </c>
      <c r="AK20" s="60" t="str">
        <f t="shared" si="7"/>
        <v>Missing Data</v>
      </c>
      <c r="AL20" s="42" t="str">
        <f t="shared" si="8"/>
        <v>Missing Data</v>
      </c>
      <c r="AM20" s="43">
        <f t="shared" si="9"/>
        <v>0</v>
      </c>
      <c r="AN20" s="43">
        <f t="shared" si="10"/>
        <v>0</v>
      </c>
      <c r="AO20" s="60" t="str">
        <f t="shared" si="11"/>
        <v>Missing Data</v>
      </c>
      <c r="AP20" s="106"/>
      <c r="AQ20" s="106"/>
      <c r="AR20" s="42" t="e">
        <f>VLOOKUP($Z20,SegAWS[],HLOOKUP("Dispersion Parameter",SegAWS[],2,FALSE),FALSE)</f>
        <v>#N/A</v>
      </c>
      <c r="AS20" s="42" t="e">
        <f>VLOOKUP($Z20,SegAWS[],HLOOKUP("Dispersion Parameter",SegAWS[],2,FALSE),FALSE)</f>
        <v>#N/A</v>
      </c>
      <c r="AT20" s="42" t="e">
        <f t="shared" si="16"/>
        <v>#N/A</v>
      </c>
      <c r="AU20" s="42" t="e">
        <f t="shared" si="12"/>
        <v>#VALUE!</v>
      </c>
      <c r="AV20" s="42" t="e">
        <f t="shared" si="17"/>
        <v>#N/A</v>
      </c>
      <c r="AW20" s="42" t="e">
        <f t="shared" si="13"/>
        <v>#VALUE!</v>
      </c>
    </row>
    <row r="21" spans="1:49" x14ac:dyDescent="0.3">
      <c r="A21" s="109"/>
      <c r="B21" s="60"/>
      <c r="C21" s="60"/>
      <c r="D21" s="60"/>
      <c r="E21" s="60"/>
      <c r="F21" s="60"/>
      <c r="G21" s="60"/>
      <c r="H21" s="60"/>
      <c r="I21" s="43"/>
      <c r="J21" s="42"/>
      <c r="K21" s="43"/>
      <c r="L21" s="60"/>
      <c r="M21" s="60"/>
      <c r="N21" s="60"/>
      <c r="O21" s="43"/>
      <c r="P21" s="43"/>
      <c r="Q21" s="43"/>
      <c r="R21" s="43"/>
      <c r="S21" s="43"/>
      <c r="T21" s="43"/>
      <c r="U21" s="43"/>
      <c r="V21" s="43"/>
      <c r="W21" s="60" t="str">
        <f t="shared" si="0"/>
        <v/>
      </c>
      <c r="X21" s="43">
        <f t="shared" si="1"/>
        <v>5</v>
      </c>
      <c r="Y21" s="91" t="e">
        <f>VLOOKUP(Z21,SegAWS[],HLOOKUP("AWS Name",SegAWS[],2,FALSE),FALSE)</f>
        <v>#N/A</v>
      </c>
      <c r="Z21" s="91" t="str">
        <f t="shared" si="14"/>
        <v>Data Error: Number of Lanes</v>
      </c>
      <c r="AA21" s="108" t="str">
        <f>IFERROR(VLOOKUP($Z21,SegAWS[],HLOOKUP("KABC Scaler",SegAWS[],2,FALSE),FALSE),"Data Error")</f>
        <v>Data Error</v>
      </c>
      <c r="AB21" s="43">
        <f t="shared" si="2"/>
        <v>0</v>
      </c>
      <c r="AC21" s="42" t="str">
        <f>IF($J21="","Data Error: Segment Length",
IF(VLOOKUP($Z21,SegAWS[],HLOOKUP("Equation Form",SegAWS[],2,FALSE),FALSE)="Form 1",(((VLOOKUP($Z21,SegAWS[],HLOOKUP("Form 1 Num",SegAWS[],2,FALSE),FALSE))/(1 + EXP(-((VLOOKUP($Z21,SegAWS[],HLOOKUP("Form 1 Exp Coeff",SegAWS[],2,FALSE),FALSE))*($K21-(VLOOKUP($Z21,SegAWS[],HLOOKUP("Form 1 AADT Coeff",SegAWS[],2,FALSE),FALSE)))))))+(VLOOKUP($Z21,SegAWS[],HLOOKUP("Form 1 End Factor",SegAWS[],2,FALSE),FALSE)))*$X21*$J21,
IF(VLOOKUP($Z21,SegAWS[],HLOOKUP("Equation Form",SegAWS[],2,FALSE),FALSE)="Form 2",(EXP((VLOOKUP($Z21,SegAWS[],HLOOKUP("Form 2 Exp Coeff",SegAWS[],2,FALSE),FALSE)))*($K21^(VLOOKUP($Z21,SegAWS[],HLOOKUP("Form 2 AADT Coeff",SegAWS[],2,FALSE),FALSE))))*$X21*$J21,"Data Error: SPF Lookup Name")))</f>
        <v>Data Error: Segment Length</v>
      </c>
      <c r="AD21" s="42" t="e">
        <f>((1/(1+VLOOKUP($Z21,SegAWS[],HLOOKUP("Dispersion Parameter",SegAWS[],2,FALSE),FALSE)*AC21))*AC21
+(1-1/(1+VLOOKUP($Z21,SegAWS[],HLOOKUP("Dispersion Parameter",SegAWS[],2,FALSE),FALSE)*AC21))*AB21)</f>
        <v>#N/A</v>
      </c>
      <c r="AE21" s="43">
        <f t="shared" si="3"/>
        <v>0</v>
      </c>
      <c r="AF21" s="42" t="e">
        <f t="shared" si="15"/>
        <v>#VALUE!</v>
      </c>
      <c r="AG21" s="42" t="e">
        <f>((1/(1+VLOOKUP($Z21,SegAWS[],HLOOKUP("Dispersion Parameter",SegAWS[],2,FALSE),FALSE)*AF21))*AF21
+(1-1/(1+VLOOKUP($Z21,SegAWS[],HLOOKUP("Dispersion Parameter",SegAWS[],2,FALSE),FALSE)*AF21))*AE21)</f>
        <v>#N/A</v>
      </c>
      <c r="AH21" s="60">
        <f t="shared" si="4"/>
        <v>0</v>
      </c>
      <c r="AI21" s="60" t="str">
        <f t="shared" si="5"/>
        <v>Missing Data</v>
      </c>
      <c r="AJ21" s="42" t="str">
        <f t="shared" si="6"/>
        <v>Missing Data</v>
      </c>
      <c r="AK21" s="60" t="str">
        <f t="shared" si="7"/>
        <v>Missing Data</v>
      </c>
      <c r="AL21" s="42" t="str">
        <f t="shared" si="8"/>
        <v>Missing Data</v>
      </c>
      <c r="AM21" s="43">
        <f t="shared" si="9"/>
        <v>0</v>
      </c>
      <c r="AN21" s="43">
        <f t="shared" si="10"/>
        <v>0</v>
      </c>
      <c r="AO21" s="60" t="str">
        <f t="shared" si="11"/>
        <v>Missing Data</v>
      </c>
      <c r="AP21" s="106"/>
      <c r="AQ21" s="106"/>
      <c r="AR21" s="42" t="e">
        <f>VLOOKUP($Z21,SegAWS[],HLOOKUP("Dispersion Parameter",SegAWS[],2,FALSE),FALSE)</f>
        <v>#N/A</v>
      </c>
      <c r="AS21" s="42" t="e">
        <f>VLOOKUP($Z21,SegAWS[],HLOOKUP("Dispersion Parameter",SegAWS[],2,FALSE),FALSE)</f>
        <v>#N/A</v>
      </c>
      <c r="AT21" s="42" t="e">
        <f t="shared" si="16"/>
        <v>#N/A</v>
      </c>
      <c r="AU21" s="42" t="e">
        <f t="shared" si="12"/>
        <v>#VALUE!</v>
      </c>
      <c r="AV21" s="42" t="e">
        <f t="shared" si="17"/>
        <v>#N/A</v>
      </c>
      <c r="AW21" s="42" t="e">
        <f t="shared" si="13"/>
        <v>#VALUE!</v>
      </c>
    </row>
    <row r="22" spans="1:49" x14ac:dyDescent="0.3">
      <c r="A22" s="109"/>
      <c r="B22" s="60"/>
      <c r="C22" s="60"/>
      <c r="D22" s="60"/>
      <c r="E22" s="60"/>
      <c r="F22" s="60"/>
      <c r="G22" s="60"/>
      <c r="H22" s="60"/>
      <c r="I22" s="43"/>
      <c r="J22" s="42"/>
      <c r="K22" s="43"/>
      <c r="L22" s="60"/>
      <c r="M22" s="60"/>
      <c r="N22" s="60"/>
      <c r="O22" s="43"/>
      <c r="P22" s="43"/>
      <c r="Q22" s="43"/>
      <c r="R22" s="43"/>
      <c r="S22" s="43"/>
      <c r="T22" s="43"/>
      <c r="U22" s="43"/>
      <c r="V22" s="43"/>
      <c r="W22" s="60" t="str">
        <f t="shared" si="0"/>
        <v/>
      </c>
      <c r="X22" s="43">
        <f t="shared" si="1"/>
        <v>5</v>
      </c>
      <c r="Y22" s="91" t="e">
        <f>VLOOKUP(Z22,SegAWS[],HLOOKUP("AWS Name",SegAWS[],2,FALSE),FALSE)</f>
        <v>#N/A</v>
      </c>
      <c r="Z22" s="91" t="str">
        <f t="shared" si="14"/>
        <v>Data Error: Number of Lanes</v>
      </c>
      <c r="AA22" s="108" t="str">
        <f>IFERROR(VLOOKUP($Z22,SegAWS[],HLOOKUP("KABC Scaler",SegAWS[],2,FALSE),FALSE),"Data Error")</f>
        <v>Data Error</v>
      </c>
      <c r="AB22" s="43">
        <f t="shared" si="2"/>
        <v>0</v>
      </c>
      <c r="AC22" s="42" t="str">
        <f>IF($J22="","Data Error: Segment Length",
IF(VLOOKUP($Z22,SegAWS[],HLOOKUP("Equation Form",SegAWS[],2,FALSE),FALSE)="Form 1",(((VLOOKUP($Z22,SegAWS[],HLOOKUP("Form 1 Num",SegAWS[],2,FALSE),FALSE))/(1 + EXP(-((VLOOKUP($Z22,SegAWS[],HLOOKUP("Form 1 Exp Coeff",SegAWS[],2,FALSE),FALSE))*($K22-(VLOOKUP($Z22,SegAWS[],HLOOKUP("Form 1 AADT Coeff",SegAWS[],2,FALSE),FALSE)))))))+(VLOOKUP($Z22,SegAWS[],HLOOKUP("Form 1 End Factor",SegAWS[],2,FALSE),FALSE)))*$X22*$J22,
IF(VLOOKUP($Z22,SegAWS[],HLOOKUP("Equation Form",SegAWS[],2,FALSE),FALSE)="Form 2",(EXP((VLOOKUP($Z22,SegAWS[],HLOOKUP("Form 2 Exp Coeff",SegAWS[],2,FALSE),FALSE)))*($K22^(VLOOKUP($Z22,SegAWS[],HLOOKUP("Form 2 AADT Coeff",SegAWS[],2,FALSE),FALSE))))*$X22*$J22,"Data Error: SPF Lookup Name")))</f>
        <v>Data Error: Segment Length</v>
      </c>
      <c r="AD22" s="42" t="e">
        <f>((1/(1+VLOOKUP($Z22,SegAWS[],HLOOKUP("Dispersion Parameter",SegAWS[],2,FALSE),FALSE)*AC22))*AC22
+(1-1/(1+VLOOKUP($Z22,SegAWS[],HLOOKUP("Dispersion Parameter",SegAWS[],2,FALSE),FALSE)*AC22))*AB22)</f>
        <v>#N/A</v>
      </c>
      <c r="AE22" s="43">
        <f t="shared" si="3"/>
        <v>0</v>
      </c>
      <c r="AF22" s="42" t="e">
        <f t="shared" si="15"/>
        <v>#VALUE!</v>
      </c>
      <c r="AG22" s="42" t="e">
        <f>((1/(1+VLOOKUP($Z22,SegAWS[],HLOOKUP("Dispersion Parameter",SegAWS[],2,FALSE),FALSE)*AF22))*AF22
+(1-1/(1+VLOOKUP($Z22,SegAWS[],HLOOKUP("Dispersion Parameter",SegAWS[],2,FALSE),FALSE)*AF22))*AE22)</f>
        <v>#N/A</v>
      </c>
      <c r="AH22" s="60">
        <f t="shared" si="4"/>
        <v>0</v>
      </c>
      <c r="AI22" s="60" t="str">
        <f t="shared" si="5"/>
        <v>Missing Data</v>
      </c>
      <c r="AJ22" s="42" t="str">
        <f t="shared" si="6"/>
        <v>Missing Data</v>
      </c>
      <c r="AK22" s="60" t="str">
        <f t="shared" si="7"/>
        <v>Missing Data</v>
      </c>
      <c r="AL22" s="42" t="str">
        <f t="shared" si="8"/>
        <v>Missing Data</v>
      </c>
      <c r="AM22" s="43">
        <f t="shared" si="9"/>
        <v>0</v>
      </c>
      <c r="AN22" s="43">
        <f t="shared" si="10"/>
        <v>0</v>
      </c>
      <c r="AO22" s="60" t="str">
        <f t="shared" si="11"/>
        <v>Missing Data</v>
      </c>
      <c r="AP22" s="106"/>
      <c r="AQ22" s="106"/>
      <c r="AR22" s="42" t="e">
        <f>VLOOKUP($Z22,SegAWS[],HLOOKUP("Dispersion Parameter",SegAWS[],2,FALSE),FALSE)</f>
        <v>#N/A</v>
      </c>
      <c r="AS22" s="42" t="e">
        <f>VLOOKUP($Z22,SegAWS[],HLOOKUP("Dispersion Parameter",SegAWS[],2,FALSE),FALSE)</f>
        <v>#N/A</v>
      </c>
      <c r="AT22" s="42" t="e">
        <f t="shared" si="16"/>
        <v>#N/A</v>
      </c>
      <c r="AU22" s="42" t="e">
        <f t="shared" si="12"/>
        <v>#VALUE!</v>
      </c>
      <c r="AV22" s="42" t="e">
        <f t="shared" si="17"/>
        <v>#N/A</v>
      </c>
      <c r="AW22" s="42" t="e">
        <f t="shared" si="13"/>
        <v>#VALUE!</v>
      </c>
    </row>
    <row r="23" spans="1:49" x14ac:dyDescent="0.3">
      <c r="A23" s="109"/>
      <c r="B23" s="60"/>
      <c r="C23" s="60"/>
      <c r="D23" s="60"/>
      <c r="E23" s="60"/>
      <c r="F23" s="60"/>
      <c r="G23" s="60"/>
      <c r="H23" s="60"/>
      <c r="I23" s="43"/>
      <c r="J23" s="42"/>
      <c r="K23" s="43"/>
      <c r="L23" s="60"/>
      <c r="M23" s="60"/>
      <c r="N23" s="60"/>
      <c r="O23" s="43"/>
      <c r="P23" s="43"/>
      <c r="Q23" s="43"/>
      <c r="R23" s="43"/>
      <c r="S23" s="43"/>
      <c r="T23" s="43"/>
      <c r="U23" s="43"/>
      <c r="V23" s="43"/>
      <c r="W23" s="60" t="str">
        <f t="shared" si="0"/>
        <v/>
      </c>
      <c r="X23" s="43">
        <f t="shared" si="1"/>
        <v>5</v>
      </c>
      <c r="Y23" s="91" t="e">
        <f>VLOOKUP(Z23,SegAWS[],HLOOKUP("AWS Name",SegAWS[],2,FALSE),FALSE)</f>
        <v>#N/A</v>
      </c>
      <c r="Z23" s="91" t="str">
        <f t="shared" si="14"/>
        <v>Data Error: Number of Lanes</v>
      </c>
      <c r="AA23" s="108" t="str">
        <f>IFERROR(VLOOKUP($Z23,SegAWS[],HLOOKUP("KABC Scaler",SegAWS[],2,FALSE),FALSE),"Data Error")</f>
        <v>Data Error</v>
      </c>
      <c r="AB23" s="43">
        <f t="shared" si="2"/>
        <v>0</v>
      </c>
      <c r="AC23" s="42" t="str">
        <f>IF($J23="","Data Error: Segment Length",
IF(VLOOKUP($Z23,SegAWS[],HLOOKUP("Equation Form",SegAWS[],2,FALSE),FALSE)="Form 1",(((VLOOKUP($Z23,SegAWS[],HLOOKUP("Form 1 Num",SegAWS[],2,FALSE),FALSE))/(1 + EXP(-((VLOOKUP($Z23,SegAWS[],HLOOKUP("Form 1 Exp Coeff",SegAWS[],2,FALSE),FALSE))*($K23-(VLOOKUP($Z23,SegAWS[],HLOOKUP("Form 1 AADT Coeff",SegAWS[],2,FALSE),FALSE)))))))+(VLOOKUP($Z23,SegAWS[],HLOOKUP("Form 1 End Factor",SegAWS[],2,FALSE),FALSE)))*$X23*$J23,
IF(VLOOKUP($Z23,SegAWS[],HLOOKUP("Equation Form",SegAWS[],2,FALSE),FALSE)="Form 2",(EXP((VLOOKUP($Z23,SegAWS[],HLOOKUP("Form 2 Exp Coeff",SegAWS[],2,FALSE),FALSE)))*($K23^(VLOOKUP($Z23,SegAWS[],HLOOKUP("Form 2 AADT Coeff",SegAWS[],2,FALSE),FALSE))))*$X23*$J23,"Data Error: SPF Lookup Name")))</f>
        <v>Data Error: Segment Length</v>
      </c>
      <c r="AD23" s="42" t="e">
        <f>((1/(1+VLOOKUP($Z23,SegAWS[],HLOOKUP("Dispersion Parameter",SegAWS[],2,FALSE),FALSE)*AC23))*AC23
+(1-1/(1+VLOOKUP($Z23,SegAWS[],HLOOKUP("Dispersion Parameter",SegAWS[],2,FALSE),FALSE)*AC23))*AB23)</f>
        <v>#N/A</v>
      </c>
      <c r="AE23" s="43">
        <f t="shared" si="3"/>
        <v>0</v>
      </c>
      <c r="AF23" s="42" t="e">
        <f t="shared" si="15"/>
        <v>#VALUE!</v>
      </c>
      <c r="AG23" s="42" t="e">
        <f>((1/(1+VLOOKUP($Z23,SegAWS[],HLOOKUP("Dispersion Parameter",SegAWS[],2,FALSE),FALSE)*AF23))*AF23
+(1-1/(1+VLOOKUP($Z23,SegAWS[],HLOOKUP("Dispersion Parameter",SegAWS[],2,FALSE),FALSE)*AF23))*AE23)</f>
        <v>#N/A</v>
      </c>
      <c r="AH23" s="60">
        <f t="shared" si="4"/>
        <v>0</v>
      </c>
      <c r="AI23" s="60" t="str">
        <f t="shared" si="5"/>
        <v>Missing Data</v>
      </c>
      <c r="AJ23" s="42" t="str">
        <f t="shared" si="6"/>
        <v>Missing Data</v>
      </c>
      <c r="AK23" s="60" t="str">
        <f t="shared" si="7"/>
        <v>Missing Data</v>
      </c>
      <c r="AL23" s="42" t="str">
        <f t="shared" si="8"/>
        <v>Missing Data</v>
      </c>
      <c r="AM23" s="43">
        <f t="shared" si="9"/>
        <v>0</v>
      </c>
      <c r="AN23" s="43">
        <f t="shared" si="10"/>
        <v>0</v>
      </c>
      <c r="AO23" s="60" t="str">
        <f t="shared" si="11"/>
        <v>Missing Data</v>
      </c>
      <c r="AP23" s="106"/>
      <c r="AQ23" s="106"/>
      <c r="AR23" s="42" t="e">
        <f>VLOOKUP($Z23,SegAWS[],HLOOKUP("Dispersion Parameter",SegAWS[],2,FALSE),FALSE)</f>
        <v>#N/A</v>
      </c>
      <c r="AS23" s="42" t="e">
        <f>VLOOKUP($Z23,SegAWS[],HLOOKUP("Dispersion Parameter",SegAWS[],2,FALSE),FALSE)</f>
        <v>#N/A</v>
      </c>
      <c r="AT23" s="42" t="e">
        <f t="shared" si="16"/>
        <v>#N/A</v>
      </c>
      <c r="AU23" s="42" t="e">
        <f t="shared" si="12"/>
        <v>#VALUE!</v>
      </c>
      <c r="AV23" s="42" t="e">
        <f t="shared" si="17"/>
        <v>#N/A</v>
      </c>
      <c r="AW23" s="42" t="e">
        <f t="shared" si="13"/>
        <v>#VALUE!</v>
      </c>
    </row>
    <row r="24" spans="1:49" x14ac:dyDescent="0.3">
      <c r="A24" s="109"/>
      <c r="B24" s="60"/>
      <c r="C24" s="60"/>
      <c r="D24" s="60"/>
      <c r="E24" s="60"/>
      <c r="F24" s="60"/>
      <c r="G24" s="60"/>
      <c r="H24" s="60"/>
      <c r="I24" s="43"/>
      <c r="J24" s="42"/>
      <c r="K24" s="43"/>
      <c r="L24" s="60"/>
      <c r="M24" s="60"/>
      <c r="N24" s="60"/>
      <c r="O24" s="43"/>
      <c r="P24" s="43"/>
      <c r="Q24" s="43"/>
      <c r="R24" s="43"/>
      <c r="S24" s="43"/>
      <c r="T24" s="43"/>
      <c r="U24" s="43"/>
      <c r="V24" s="43"/>
      <c r="W24" s="60" t="str">
        <f t="shared" si="0"/>
        <v/>
      </c>
      <c r="X24" s="43">
        <f t="shared" si="1"/>
        <v>5</v>
      </c>
      <c r="Y24" s="91" t="e">
        <f>VLOOKUP(Z24,SegAWS[],HLOOKUP("AWS Name",SegAWS[],2,FALSE),FALSE)</f>
        <v>#N/A</v>
      </c>
      <c r="Z24" s="91" t="str">
        <f t="shared" si="14"/>
        <v>Data Error: Number of Lanes</v>
      </c>
      <c r="AA24" s="108" t="str">
        <f>IFERROR(VLOOKUP($Z24,SegAWS[],HLOOKUP("KABC Scaler",SegAWS[],2,FALSE),FALSE),"Data Error")</f>
        <v>Data Error</v>
      </c>
      <c r="AB24" s="43">
        <f t="shared" si="2"/>
        <v>0</v>
      </c>
      <c r="AC24" s="42" t="str">
        <f>IF($J24="","Data Error: Segment Length",
IF(VLOOKUP($Z24,SegAWS[],HLOOKUP("Equation Form",SegAWS[],2,FALSE),FALSE)="Form 1",(((VLOOKUP($Z24,SegAWS[],HLOOKUP("Form 1 Num",SegAWS[],2,FALSE),FALSE))/(1 + EXP(-((VLOOKUP($Z24,SegAWS[],HLOOKUP("Form 1 Exp Coeff",SegAWS[],2,FALSE),FALSE))*($K24-(VLOOKUP($Z24,SegAWS[],HLOOKUP("Form 1 AADT Coeff",SegAWS[],2,FALSE),FALSE)))))))+(VLOOKUP($Z24,SegAWS[],HLOOKUP("Form 1 End Factor",SegAWS[],2,FALSE),FALSE)))*$X24*$J24,
IF(VLOOKUP($Z24,SegAWS[],HLOOKUP("Equation Form",SegAWS[],2,FALSE),FALSE)="Form 2",(EXP((VLOOKUP($Z24,SegAWS[],HLOOKUP("Form 2 Exp Coeff",SegAWS[],2,FALSE),FALSE)))*($K24^(VLOOKUP($Z24,SegAWS[],HLOOKUP("Form 2 AADT Coeff",SegAWS[],2,FALSE),FALSE))))*$X24*$J24,"Data Error: SPF Lookup Name")))</f>
        <v>Data Error: Segment Length</v>
      </c>
      <c r="AD24" s="42" t="e">
        <f>((1/(1+VLOOKUP($Z24,SegAWS[],HLOOKUP("Dispersion Parameter",SegAWS[],2,FALSE),FALSE)*AC24))*AC24
+(1-1/(1+VLOOKUP($Z24,SegAWS[],HLOOKUP("Dispersion Parameter",SegAWS[],2,FALSE),FALSE)*AC24))*AB24)</f>
        <v>#N/A</v>
      </c>
      <c r="AE24" s="43">
        <f t="shared" si="3"/>
        <v>0</v>
      </c>
      <c r="AF24" s="42" t="e">
        <f t="shared" si="15"/>
        <v>#VALUE!</v>
      </c>
      <c r="AG24" s="42" t="e">
        <f>((1/(1+VLOOKUP($Z24,SegAWS[],HLOOKUP("Dispersion Parameter",SegAWS[],2,FALSE),FALSE)*AF24))*AF24
+(1-1/(1+VLOOKUP($Z24,SegAWS[],HLOOKUP("Dispersion Parameter",SegAWS[],2,FALSE),FALSE)*AF24))*AE24)</f>
        <v>#N/A</v>
      </c>
      <c r="AH24" s="60">
        <f t="shared" si="4"/>
        <v>0</v>
      </c>
      <c r="AI24" s="60" t="str">
        <f t="shared" si="5"/>
        <v>Missing Data</v>
      </c>
      <c r="AJ24" s="42" t="str">
        <f t="shared" si="6"/>
        <v>Missing Data</v>
      </c>
      <c r="AK24" s="60" t="str">
        <f t="shared" si="7"/>
        <v>Missing Data</v>
      </c>
      <c r="AL24" s="42" t="str">
        <f t="shared" si="8"/>
        <v>Missing Data</v>
      </c>
      <c r="AM24" s="43">
        <f t="shared" si="9"/>
        <v>0</v>
      </c>
      <c r="AN24" s="43">
        <f t="shared" si="10"/>
        <v>0</v>
      </c>
      <c r="AO24" s="60" t="str">
        <f t="shared" si="11"/>
        <v>Missing Data</v>
      </c>
      <c r="AP24" s="106"/>
      <c r="AQ24" s="106"/>
      <c r="AR24" s="42" t="e">
        <f>VLOOKUP($Z24,SegAWS[],HLOOKUP("Dispersion Parameter",SegAWS[],2,FALSE),FALSE)</f>
        <v>#N/A</v>
      </c>
      <c r="AS24" s="42" t="e">
        <f>VLOOKUP($Z24,SegAWS[],HLOOKUP("Dispersion Parameter",SegAWS[],2,FALSE),FALSE)</f>
        <v>#N/A</v>
      </c>
      <c r="AT24" s="42" t="e">
        <f t="shared" si="16"/>
        <v>#N/A</v>
      </c>
      <c r="AU24" s="42" t="e">
        <f t="shared" si="12"/>
        <v>#VALUE!</v>
      </c>
      <c r="AV24" s="42" t="e">
        <f t="shared" si="17"/>
        <v>#N/A</v>
      </c>
      <c r="AW24" s="42" t="e">
        <f t="shared" si="13"/>
        <v>#VALUE!</v>
      </c>
    </row>
    <row r="25" spans="1:49" x14ac:dyDescent="0.3">
      <c r="A25" s="109"/>
      <c r="B25" s="60"/>
      <c r="C25" s="60"/>
      <c r="D25" s="60"/>
      <c r="E25" s="60"/>
      <c r="F25" s="60"/>
      <c r="G25" s="60"/>
      <c r="H25" s="60"/>
      <c r="I25" s="43"/>
      <c r="J25" s="42"/>
      <c r="K25" s="43"/>
      <c r="L25" s="60"/>
      <c r="M25" s="60"/>
      <c r="N25" s="60"/>
      <c r="O25" s="43"/>
      <c r="P25" s="43"/>
      <c r="Q25" s="43"/>
      <c r="R25" s="43"/>
      <c r="S25" s="43"/>
      <c r="T25" s="43"/>
      <c r="U25" s="43"/>
      <c r="V25" s="43"/>
      <c r="W25" s="60" t="str">
        <f t="shared" si="0"/>
        <v/>
      </c>
      <c r="X25" s="43">
        <f t="shared" si="1"/>
        <v>5</v>
      </c>
      <c r="Y25" s="91" t="e">
        <f>VLOOKUP(Z25,SegAWS[],HLOOKUP("AWS Name",SegAWS[],2,FALSE),FALSE)</f>
        <v>#N/A</v>
      </c>
      <c r="Z25" s="91" t="str">
        <f t="shared" si="14"/>
        <v>Data Error: Number of Lanes</v>
      </c>
      <c r="AA25" s="108" t="str">
        <f>IFERROR(VLOOKUP($Z25,SegAWS[],HLOOKUP("KABC Scaler",SegAWS[],2,FALSE),FALSE),"Data Error")</f>
        <v>Data Error</v>
      </c>
      <c r="AB25" s="43">
        <f t="shared" si="2"/>
        <v>0</v>
      </c>
      <c r="AC25" s="42" t="str">
        <f>IF($J25="","Data Error: Segment Length",
IF(VLOOKUP($Z25,SegAWS[],HLOOKUP("Equation Form",SegAWS[],2,FALSE),FALSE)="Form 1",(((VLOOKUP($Z25,SegAWS[],HLOOKUP("Form 1 Num",SegAWS[],2,FALSE),FALSE))/(1 + EXP(-((VLOOKUP($Z25,SegAWS[],HLOOKUP("Form 1 Exp Coeff",SegAWS[],2,FALSE),FALSE))*($K25-(VLOOKUP($Z25,SegAWS[],HLOOKUP("Form 1 AADT Coeff",SegAWS[],2,FALSE),FALSE)))))))+(VLOOKUP($Z25,SegAWS[],HLOOKUP("Form 1 End Factor",SegAWS[],2,FALSE),FALSE)))*$X25*$J25,
IF(VLOOKUP($Z25,SegAWS[],HLOOKUP("Equation Form",SegAWS[],2,FALSE),FALSE)="Form 2",(EXP((VLOOKUP($Z25,SegAWS[],HLOOKUP("Form 2 Exp Coeff",SegAWS[],2,FALSE),FALSE)))*($K25^(VLOOKUP($Z25,SegAWS[],HLOOKUP("Form 2 AADT Coeff",SegAWS[],2,FALSE),FALSE))))*$X25*$J25,"Data Error: SPF Lookup Name")))</f>
        <v>Data Error: Segment Length</v>
      </c>
      <c r="AD25" s="42" t="e">
        <f>((1/(1+VLOOKUP($Z25,SegAWS[],HLOOKUP("Dispersion Parameter",SegAWS[],2,FALSE),FALSE)*AC25))*AC25
+(1-1/(1+VLOOKUP($Z25,SegAWS[],HLOOKUP("Dispersion Parameter",SegAWS[],2,FALSE),FALSE)*AC25))*AB25)</f>
        <v>#N/A</v>
      </c>
      <c r="AE25" s="43">
        <f t="shared" si="3"/>
        <v>0</v>
      </c>
      <c r="AF25" s="42" t="e">
        <f t="shared" si="15"/>
        <v>#VALUE!</v>
      </c>
      <c r="AG25" s="42" t="e">
        <f>((1/(1+VLOOKUP($Z25,SegAWS[],HLOOKUP("Dispersion Parameter",SegAWS[],2,FALSE),FALSE)*AF25))*AF25
+(1-1/(1+VLOOKUP($Z25,SegAWS[],HLOOKUP("Dispersion Parameter",SegAWS[],2,FALSE),FALSE)*AF25))*AE25)</f>
        <v>#N/A</v>
      </c>
      <c r="AH25" s="60">
        <f t="shared" si="4"/>
        <v>0</v>
      </c>
      <c r="AI25" s="60" t="str">
        <f t="shared" si="5"/>
        <v>Missing Data</v>
      </c>
      <c r="AJ25" s="42" t="str">
        <f t="shared" si="6"/>
        <v>Missing Data</v>
      </c>
      <c r="AK25" s="60" t="str">
        <f t="shared" si="7"/>
        <v>Missing Data</v>
      </c>
      <c r="AL25" s="42" t="str">
        <f t="shared" si="8"/>
        <v>Missing Data</v>
      </c>
      <c r="AM25" s="43">
        <f t="shared" si="9"/>
        <v>0</v>
      </c>
      <c r="AN25" s="43">
        <f t="shared" si="10"/>
        <v>0</v>
      </c>
      <c r="AO25" s="60" t="str">
        <f t="shared" si="11"/>
        <v>Missing Data</v>
      </c>
      <c r="AP25" s="106"/>
      <c r="AQ25" s="106"/>
      <c r="AR25" s="42" t="e">
        <f>VLOOKUP($Z25,SegAWS[],HLOOKUP("Dispersion Parameter",SegAWS[],2,FALSE),FALSE)</f>
        <v>#N/A</v>
      </c>
      <c r="AS25" s="42" t="e">
        <f>VLOOKUP($Z25,SegAWS[],HLOOKUP("Dispersion Parameter",SegAWS[],2,FALSE),FALSE)</f>
        <v>#N/A</v>
      </c>
      <c r="AT25" s="42" t="e">
        <f t="shared" si="16"/>
        <v>#N/A</v>
      </c>
      <c r="AU25" s="42" t="e">
        <f t="shared" si="12"/>
        <v>#VALUE!</v>
      </c>
      <c r="AV25" s="42" t="e">
        <f t="shared" si="17"/>
        <v>#N/A</v>
      </c>
      <c r="AW25" s="42" t="e">
        <f t="shared" si="13"/>
        <v>#VALUE!</v>
      </c>
    </row>
    <row r="26" spans="1:49" x14ac:dyDescent="0.3">
      <c r="A26" s="109"/>
      <c r="B26" s="60"/>
      <c r="C26" s="60"/>
      <c r="D26" s="60"/>
      <c r="E26" s="60"/>
      <c r="F26" s="60"/>
      <c r="G26" s="60"/>
      <c r="H26" s="60"/>
      <c r="I26" s="43"/>
      <c r="J26" s="42"/>
      <c r="K26" s="43"/>
      <c r="L26" s="60"/>
      <c r="M26" s="60"/>
      <c r="N26" s="60"/>
      <c r="O26" s="43"/>
      <c r="P26" s="43"/>
      <c r="Q26" s="43"/>
      <c r="R26" s="43"/>
      <c r="S26" s="43"/>
      <c r="T26" s="43"/>
      <c r="U26" s="43"/>
      <c r="V26" s="43"/>
      <c r="W26" s="60" t="str">
        <f t="shared" si="0"/>
        <v/>
      </c>
      <c r="X26" s="43">
        <f t="shared" si="1"/>
        <v>5</v>
      </c>
      <c r="Y26" s="91" t="e">
        <f>VLOOKUP(Z26,SegAWS[],HLOOKUP("AWS Name",SegAWS[],2,FALSE),FALSE)</f>
        <v>#N/A</v>
      </c>
      <c r="Z26" s="91" t="str">
        <f t="shared" si="14"/>
        <v>Data Error: Number of Lanes</v>
      </c>
      <c r="AA26" s="108" t="str">
        <f>IFERROR(VLOOKUP($Z26,SegAWS[],HLOOKUP("KABC Scaler",SegAWS[],2,FALSE),FALSE),"Data Error")</f>
        <v>Data Error</v>
      </c>
      <c r="AB26" s="43">
        <f t="shared" si="2"/>
        <v>0</v>
      </c>
      <c r="AC26" s="42" t="str">
        <f>IF($J26="","Data Error: Segment Length",
IF(VLOOKUP($Z26,SegAWS[],HLOOKUP("Equation Form",SegAWS[],2,FALSE),FALSE)="Form 1",(((VLOOKUP($Z26,SegAWS[],HLOOKUP("Form 1 Num",SegAWS[],2,FALSE),FALSE))/(1 + EXP(-((VLOOKUP($Z26,SegAWS[],HLOOKUP("Form 1 Exp Coeff",SegAWS[],2,FALSE),FALSE))*($K26-(VLOOKUP($Z26,SegAWS[],HLOOKUP("Form 1 AADT Coeff",SegAWS[],2,FALSE),FALSE)))))))+(VLOOKUP($Z26,SegAWS[],HLOOKUP("Form 1 End Factor",SegAWS[],2,FALSE),FALSE)))*$X26*$J26,
IF(VLOOKUP($Z26,SegAWS[],HLOOKUP("Equation Form",SegAWS[],2,FALSE),FALSE)="Form 2",(EXP((VLOOKUP($Z26,SegAWS[],HLOOKUP("Form 2 Exp Coeff",SegAWS[],2,FALSE),FALSE)))*($K26^(VLOOKUP($Z26,SegAWS[],HLOOKUP("Form 2 AADT Coeff",SegAWS[],2,FALSE),FALSE))))*$X26*$J26,"Data Error: SPF Lookup Name")))</f>
        <v>Data Error: Segment Length</v>
      </c>
      <c r="AD26" s="42" t="e">
        <f>((1/(1+VLOOKUP($Z26,SegAWS[],HLOOKUP("Dispersion Parameter",SegAWS[],2,FALSE),FALSE)*AC26))*AC26
+(1-1/(1+VLOOKUP($Z26,SegAWS[],HLOOKUP("Dispersion Parameter",SegAWS[],2,FALSE),FALSE)*AC26))*AB26)</f>
        <v>#N/A</v>
      </c>
      <c r="AE26" s="43">
        <f t="shared" si="3"/>
        <v>0</v>
      </c>
      <c r="AF26" s="42" t="e">
        <f t="shared" si="15"/>
        <v>#VALUE!</v>
      </c>
      <c r="AG26" s="42" t="e">
        <f>((1/(1+VLOOKUP($Z26,SegAWS[],HLOOKUP("Dispersion Parameter",SegAWS[],2,FALSE),FALSE)*AF26))*AF26
+(1-1/(1+VLOOKUP($Z26,SegAWS[],HLOOKUP("Dispersion Parameter",SegAWS[],2,FALSE),FALSE)*AF26))*AE26)</f>
        <v>#N/A</v>
      </c>
      <c r="AH26" s="60">
        <f t="shared" si="4"/>
        <v>0</v>
      </c>
      <c r="AI26" s="60" t="str">
        <f t="shared" si="5"/>
        <v>Missing Data</v>
      </c>
      <c r="AJ26" s="42" t="str">
        <f t="shared" si="6"/>
        <v>Missing Data</v>
      </c>
      <c r="AK26" s="60" t="str">
        <f t="shared" si="7"/>
        <v>Missing Data</v>
      </c>
      <c r="AL26" s="42" t="str">
        <f t="shared" si="8"/>
        <v>Missing Data</v>
      </c>
      <c r="AM26" s="43">
        <f t="shared" si="9"/>
        <v>0</v>
      </c>
      <c r="AN26" s="43">
        <f t="shared" si="10"/>
        <v>0</v>
      </c>
      <c r="AO26" s="60" t="str">
        <f t="shared" si="11"/>
        <v>Missing Data</v>
      </c>
      <c r="AP26" s="106"/>
      <c r="AQ26" s="106"/>
      <c r="AR26" s="42" t="e">
        <f>VLOOKUP($Z26,SegAWS[],HLOOKUP("Dispersion Parameter",SegAWS[],2,FALSE),FALSE)</f>
        <v>#N/A</v>
      </c>
      <c r="AS26" s="42" t="e">
        <f>VLOOKUP($Z26,SegAWS[],HLOOKUP("Dispersion Parameter",SegAWS[],2,FALSE),FALSE)</f>
        <v>#N/A</v>
      </c>
      <c r="AT26" s="42" t="e">
        <f t="shared" si="16"/>
        <v>#N/A</v>
      </c>
      <c r="AU26" s="42" t="e">
        <f t="shared" si="12"/>
        <v>#VALUE!</v>
      </c>
      <c r="AV26" s="42" t="e">
        <f t="shared" si="17"/>
        <v>#N/A</v>
      </c>
      <c r="AW26" s="42" t="e">
        <f t="shared" si="13"/>
        <v>#VALUE!</v>
      </c>
    </row>
    <row r="27" spans="1:49" x14ac:dyDescent="0.3">
      <c r="A27" s="109"/>
      <c r="B27" s="60"/>
      <c r="C27" s="60"/>
      <c r="D27" s="60"/>
      <c r="E27" s="60"/>
      <c r="F27" s="60"/>
      <c r="G27" s="60"/>
      <c r="H27" s="60"/>
      <c r="I27" s="43"/>
      <c r="J27" s="42"/>
      <c r="K27" s="43"/>
      <c r="L27" s="60"/>
      <c r="M27" s="60"/>
      <c r="N27" s="60"/>
      <c r="O27" s="43"/>
      <c r="P27" s="43"/>
      <c r="Q27" s="43"/>
      <c r="R27" s="43"/>
      <c r="S27" s="43"/>
      <c r="T27" s="43"/>
      <c r="U27" s="43"/>
      <c r="V27" s="43"/>
      <c r="W27" s="60" t="str">
        <f t="shared" si="0"/>
        <v/>
      </c>
      <c r="X27" s="43">
        <f t="shared" si="1"/>
        <v>5</v>
      </c>
      <c r="Y27" s="91" t="e">
        <f>VLOOKUP(Z27,SegAWS[],HLOOKUP("AWS Name",SegAWS[],2,FALSE),FALSE)</f>
        <v>#N/A</v>
      </c>
      <c r="Z27" s="91" t="str">
        <f t="shared" si="14"/>
        <v>Data Error: Number of Lanes</v>
      </c>
      <c r="AA27" s="108" t="str">
        <f>IFERROR(VLOOKUP($Z27,SegAWS[],HLOOKUP("KABC Scaler",SegAWS[],2,FALSE),FALSE),"Data Error")</f>
        <v>Data Error</v>
      </c>
      <c r="AB27" s="43">
        <f t="shared" si="2"/>
        <v>0</v>
      </c>
      <c r="AC27" s="42" t="str">
        <f>IF($J27="","Data Error: Segment Length",
IF(VLOOKUP($Z27,SegAWS[],HLOOKUP("Equation Form",SegAWS[],2,FALSE),FALSE)="Form 1",(((VLOOKUP($Z27,SegAWS[],HLOOKUP("Form 1 Num",SegAWS[],2,FALSE),FALSE))/(1 + EXP(-((VLOOKUP($Z27,SegAWS[],HLOOKUP("Form 1 Exp Coeff",SegAWS[],2,FALSE),FALSE))*($K27-(VLOOKUP($Z27,SegAWS[],HLOOKUP("Form 1 AADT Coeff",SegAWS[],2,FALSE),FALSE)))))))+(VLOOKUP($Z27,SegAWS[],HLOOKUP("Form 1 End Factor",SegAWS[],2,FALSE),FALSE)))*$X27*$J27,
IF(VLOOKUP($Z27,SegAWS[],HLOOKUP("Equation Form",SegAWS[],2,FALSE),FALSE)="Form 2",(EXP((VLOOKUP($Z27,SegAWS[],HLOOKUP("Form 2 Exp Coeff",SegAWS[],2,FALSE),FALSE)))*($K27^(VLOOKUP($Z27,SegAWS[],HLOOKUP("Form 2 AADT Coeff",SegAWS[],2,FALSE),FALSE))))*$X27*$J27,"Data Error: SPF Lookup Name")))</f>
        <v>Data Error: Segment Length</v>
      </c>
      <c r="AD27" s="42" t="e">
        <f>((1/(1+VLOOKUP($Z27,SegAWS[],HLOOKUP("Dispersion Parameter",SegAWS[],2,FALSE),FALSE)*AC27))*AC27
+(1-1/(1+VLOOKUP($Z27,SegAWS[],HLOOKUP("Dispersion Parameter",SegAWS[],2,FALSE),FALSE)*AC27))*AB27)</f>
        <v>#N/A</v>
      </c>
      <c r="AE27" s="43">
        <f t="shared" si="3"/>
        <v>0</v>
      </c>
      <c r="AF27" s="42" t="e">
        <f t="shared" si="15"/>
        <v>#VALUE!</v>
      </c>
      <c r="AG27" s="42" t="e">
        <f>((1/(1+VLOOKUP($Z27,SegAWS[],HLOOKUP("Dispersion Parameter",SegAWS[],2,FALSE),FALSE)*AF27))*AF27
+(1-1/(1+VLOOKUP($Z27,SegAWS[],HLOOKUP("Dispersion Parameter",SegAWS[],2,FALSE),FALSE)*AF27))*AE27)</f>
        <v>#N/A</v>
      </c>
      <c r="AH27" s="60">
        <f t="shared" si="4"/>
        <v>0</v>
      </c>
      <c r="AI27" s="60" t="str">
        <f t="shared" si="5"/>
        <v>Missing Data</v>
      </c>
      <c r="AJ27" s="42" t="str">
        <f t="shared" si="6"/>
        <v>Missing Data</v>
      </c>
      <c r="AK27" s="60" t="str">
        <f t="shared" si="7"/>
        <v>Missing Data</v>
      </c>
      <c r="AL27" s="42" t="str">
        <f t="shared" si="8"/>
        <v>Missing Data</v>
      </c>
      <c r="AM27" s="43">
        <f t="shared" si="9"/>
        <v>0</v>
      </c>
      <c r="AN27" s="43">
        <f t="shared" si="10"/>
        <v>0</v>
      </c>
      <c r="AO27" s="60" t="str">
        <f t="shared" si="11"/>
        <v>Missing Data</v>
      </c>
      <c r="AP27" s="106"/>
      <c r="AQ27" s="106"/>
      <c r="AR27" s="42" t="e">
        <f>VLOOKUP($Z27,SegAWS[],HLOOKUP("Dispersion Parameter",SegAWS[],2,FALSE),FALSE)</f>
        <v>#N/A</v>
      </c>
      <c r="AS27" s="42" t="e">
        <f>VLOOKUP($Z27,SegAWS[],HLOOKUP("Dispersion Parameter",SegAWS[],2,FALSE),FALSE)</f>
        <v>#N/A</v>
      </c>
      <c r="AT27" s="42" t="e">
        <f t="shared" si="16"/>
        <v>#N/A</v>
      </c>
      <c r="AU27" s="42" t="e">
        <f t="shared" si="12"/>
        <v>#VALUE!</v>
      </c>
      <c r="AV27" s="42" t="e">
        <f t="shared" si="17"/>
        <v>#N/A</v>
      </c>
      <c r="AW27" s="42" t="e">
        <f t="shared" si="13"/>
        <v>#VALUE!</v>
      </c>
    </row>
    <row r="28" spans="1:49" x14ac:dyDescent="0.3">
      <c r="A28" s="109"/>
      <c r="B28" s="60"/>
      <c r="C28" s="60"/>
      <c r="D28" s="60"/>
      <c r="E28" s="60"/>
      <c r="F28" s="60"/>
      <c r="G28" s="60"/>
      <c r="H28" s="60"/>
      <c r="I28" s="43"/>
      <c r="J28" s="42"/>
      <c r="K28" s="43"/>
      <c r="L28" s="60"/>
      <c r="M28" s="60"/>
      <c r="N28" s="60"/>
      <c r="O28" s="43"/>
      <c r="P28" s="43"/>
      <c r="Q28" s="43"/>
      <c r="R28" s="43"/>
      <c r="S28" s="43"/>
      <c r="T28" s="43"/>
      <c r="U28" s="43"/>
      <c r="V28" s="43"/>
      <c r="W28" s="60" t="str">
        <f t="shared" si="0"/>
        <v/>
      </c>
      <c r="X28" s="43">
        <f t="shared" si="1"/>
        <v>5</v>
      </c>
      <c r="Y28" s="91" t="e">
        <f>VLOOKUP(Z28,SegAWS[],HLOOKUP("AWS Name",SegAWS[],2,FALSE),FALSE)</f>
        <v>#N/A</v>
      </c>
      <c r="Z28" s="91" t="str">
        <f t="shared" si="14"/>
        <v>Data Error: Number of Lanes</v>
      </c>
      <c r="AA28" s="108" t="str">
        <f>IFERROR(VLOOKUP($Z28,SegAWS[],HLOOKUP("KABC Scaler",SegAWS[],2,FALSE),FALSE),"Data Error")</f>
        <v>Data Error</v>
      </c>
      <c r="AB28" s="43">
        <f t="shared" si="2"/>
        <v>0</v>
      </c>
      <c r="AC28" s="42" t="str">
        <f>IF($J28="","Data Error: Segment Length",
IF(VLOOKUP($Z28,SegAWS[],HLOOKUP("Equation Form",SegAWS[],2,FALSE),FALSE)="Form 1",(((VLOOKUP($Z28,SegAWS[],HLOOKUP("Form 1 Num",SegAWS[],2,FALSE),FALSE))/(1 + EXP(-((VLOOKUP($Z28,SegAWS[],HLOOKUP("Form 1 Exp Coeff",SegAWS[],2,FALSE),FALSE))*($K28-(VLOOKUP($Z28,SegAWS[],HLOOKUP("Form 1 AADT Coeff",SegAWS[],2,FALSE),FALSE)))))))+(VLOOKUP($Z28,SegAWS[],HLOOKUP("Form 1 End Factor",SegAWS[],2,FALSE),FALSE)))*$X28*$J28,
IF(VLOOKUP($Z28,SegAWS[],HLOOKUP("Equation Form",SegAWS[],2,FALSE),FALSE)="Form 2",(EXP((VLOOKUP($Z28,SegAWS[],HLOOKUP("Form 2 Exp Coeff",SegAWS[],2,FALSE),FALSE)))*($K28^(VLOOKUP($Z28,SegAWS[],HLOOKUP("Form 2 AADT Coeff",SegAWS[],2,FALSE),FALSE))))*$X28*$J28,"Data Error: SPF Lookup Name")))</f>
        <v>Data Error: Segment Length</v>
      </c>
      <c r="AD28" s="42" t="e">
        <f>((1/(1+VLOOKUP($Z28,SegAWS[],HLOOKUP("Dispersion Parameter",SegAWS[],2,FALSE),FALSE)*AC28))*AC28
+(1-1/(1+VLOOKUP($Z28,SegAWS[],HLOOKUP("Dispersion Parameter",SegAWS[],2,FALSE),FALSE)*AC28))*AB28)</f>
        <v>#N/A</v>
      </c>
      <c r="AE28" s="43">
        <f t="shared" si="3"/>
        <v>0</v>
      </c>
      <c r="AF28" s="42" t="e">
        <f t="shared" si="15"/>
        <v>#VALUE!</v>
      </c>
      <c r="AG28" s="42" t="e">
        <f>((1/(1+VLOOKUP($Z28,SegAWS[],HLOOKUP("Dispersion Parameter",SegAWS[],2,FALSE),FALSE)*AF28))*AF28
+(1-1/(1+VLOOKUP($Z28,SegAWS[],HLOOKUP("Dispersion Parameter",SegAWS[],2,FALSE),FALSE)*AF28))*AE28)</f>
        <v>#N/A</v>
      </c>
      <c r="AH28" s="60">
        <f t="shared" si="4"/>
        <v>0</v>
      </c>
      <c r="AI28" s="60" t="str">
        <f t="shared" si="5"/>
        <v>Missing Data</v>
      </c>
      <c r="AJ28" s="42" t="str">
        <f t="shared" si="6"/>
        <v>Missing Data</v>
      </c>
      <c r="AK28" s="60" t="str">
        <f t="shared" si="7"/>
        <v>Missing Data</v>
      </c>
      <c r="AL28" s="42" t="str">
        <f t="shared" si="8"/>
        <v>Missing Data</v>
      </c>
      <c r="AM28" s="43">
        <f t="shared" si="9"/>
        <v>0</v>
      </c>
      <c r="AN28" s="43">
        <f t="shared" si="10"/>
        <v>0</v>
      </c>
      <c r="AO28" s="60" t="str">
        <f t="shared" si="11"/>
        <v>Missing Data</v>
      </c>
      <c r="AP28" s="106"/>
      <c r="AQ28" s="106"/>
      <c r="AR28" s="42" t="e">
        <f>VLOOKUP($Z28,SegAWS[],HLOOKUP("Dispersion Parameter",SegAWS[],2,FALSE),FALSE)</f>
        <v>#N/A</v>
      </c>
      <c r="AS28" s="42" t="e">
        <f>VLOOKUP($Z28,SegAWS[],HLOOKUP("Dispersion Parameter",SegAWS[],2,FALSE),FALSE)</f>
        <v>#N/A</v>
      </c>
      <c r="AT28" s="42" t="e">
        <f t="shared" si="16"/>
        <v>#N/A</v>
      </c>
      <c r="AU28" s="42" t="e">
        <f t="shared" si="12"/>
        <v>#VALUE!</v>
      </c>
      <c r="AV28" s="42" t="e">
        <f t="shared" si="17"/>
        <v>#N/A</v>
      </c>
      <c r="AW28" s="42" t="e">
        <f t="shared" si="13"/>
        <v>#VALUE!</v>
      </c>
    </row>
    <row r="29" spans="1:49" x14ac:dyDescent="0.3">
      <c r="A29" s="109"/>
      <c r="B29" s="60"/>
      <c r="C29" s="60"/>
      <c r="D29" s="60"/>
      <c r="E29" s="60"/>
      <c r="F29" s="60"/>
      <c r="G29" s="60"/>
      <c r="H29" s="60"/>
      <c r="I29" s="43"/>
      <c r="J29" s="42"/>
      <c r="K29" s="43"/>
      <c r="L29" s="60"/>
      <c r="M29" s="60"/>
      <c r="N29" s="60"/>
      <c r="O29" s="43"/>
      <c r="P29" s="43"/>
      <c r="Q29" s="43"/>
      <c r="R29" s="43"/>
      <c r="S29" s="43"/>
      <c r="T29" s="43"/>
      <c r="U29" s="43"/>
      <c r="V29" s="43"/>
      <c r="W29" s="60" t="str">
        <f t="shared" si="0"/>
        <v/>
      </c>
      <c r="X29" s="43">
        <f t="shared" si="1"/>
        <v>5</v>
      </c>
      <c r="Y29" s="91" t="e">
        <f>VLOOKUP(Z29,SegAWS[],HLOOKUP("AWS Name",SegAWS[],2,FALSE),FALSE)</f>
        <v>#N/A</v>
      </c>
      <c r="Z29" s="91" t="str">
        <f t="shared" si="14"/>
        <v>Data Error: Number of Lanes</v>
      </c>
      <c r="AA29" s="108" t="str">
        <f>IFERROR(VLOOKUP($Z29,SegAWS[],HLOOKUP("KABC Scaler",SegAWS[],2,FALSE),FALSE),"Data Error")</f>
        <v>Data Error</v>
      </c>
      <c r="AB29" s="43">
        <f t="shared" si="2"/>
        <v>0</v>
      </c>
      <c r="AC29" s="42" t="str">
        <f>IF($J29="","Data Error: Segment Length",
IF(VLOOKUP($Z29,SegAWS[],HLOOKUP("Equation Form",SegAWS[],2,FALSE),FALSE)="Form 1",(((VLOOKUP($Z29,SegAWS[],HLOOKUP("Form 1 Num",SegAWS[],2,FALSE),FALSE))/(1 + EXP(-((VLOOKUP($Z29,SegAWS[],HLOOKUP("Form 1 Exp Coeff",SegAWS[],2,FALSE),FALSE))*($K29-(VLOOKUP($Z29,SegAWS[],HLOOKUP("Form 1 AADT Coeff",SegAWS[],2,FALSE),FALSE)))))))+(VLOOKUP($Z29,SegAWS[],HLOOKUP("Form 1 End Factor",SegAWS[],2,FALSE),FALSE)))*$X29*$J29,
IF(VLOOKUP($Z29,SegAWS[],HLOOKUP("Equation Form",SegAWS[],2,FALSE),FALSE)="Form 2",(EXP((VLOOKUP($Z29,SegAWS[],HLOOKUP("Form 2 Exp Coeff",SegAWS[],2,FALSE),FALSE)))*($K29^(VLOOKUP($Z29,SegAWS[],HLOOKUP("Form 2 AADT Coeff",SegAWS[],2,FALSE),FALSE))))*$X29*$J29,"Data Error: SPF Lookup Name")))</f>
        <v>Data Error: Segment Length</v>
      </c>
      <c r="AD29" s="42" t="e">
        <f>((1/(1+VLOOKUP($Z29,SegAWS[],HLOOKUP("Dispersion Parameter",SegAWS[],2,FALSE),FALSE)*AC29))*AC29
+(1-1/(1+VLOOKUP($Z29,SegAWS[],HLOOKUP("Dispersion Parameter",SegAWS[],2,FALSE),FALSE)*AC29))*AB29)</f>
        <v>#N/A</v>
      </c>
      <c r="AE29" s="43">
        <f t="shared" si="3"/>
        <v>0</v>
      </c>
      <c r="AF29" s="42" t="e">
        <f t="shared" si="15"/>
        <v>#VALUE!</v>
      </c>
      <c r="AG29" s="42" t="e">
        <f>((1/(1+VLOOKUP($Z29,SegAWS[],HLOOKUP("Dispersion Parameter",SegAWS[],2,FALSE),FALSE)*AF29))*AF29
+(1-1/(1+VLOOKUP($Z29,SegAWS[],HLOOKUP("Dispersion Parameter",SegAWS[],2,FALSE),FALSE)*AF29))*AE29)</f>
        <v>#N/A</v>
      </c>
      <c r="AH29" s="60">
        <f t="shared" si="4"/>
        <v>0</v>
      </c>
      <c r="AI29" s="60" t="str">
        <f t="shared" si="5"/>
        <v>Missing Data</v>
      </c>
      <c r="AJ29" s="42" t="str">
        <f t="shared" si="6"/>
        <v>Missing Data</v>
      </c>
      <c r="AK29" s="60" t="str">
        <f t="shared" si="7"/>
        <v>Missing Data</v>
      </c>
      <c r="AL29" s="42" t="str">
        <f t="shared" si="8"/>
        <v>Missing Data</v>
      </c>
      <c r="AM29" s="43">
        <f t="shared" si="9"/>
        <v>0</v>
      </c>
      <c r="AN29" s="43">
        <f t="shared" si="10"/>
        <v>0</v>
      </c>
      <c r="AO29" s="60" t="str">
        <f t="shared" si="11"/>
        <v>Missing Data</v>
      </c>
      <c r="AP29" s="106"/>
      <c r="AQ29" s="106"/>
      <c r="AR29" s="42" t="e">
        <f>VLOOKUP($Z29,SegAWS[],HLOOKUP("Dispersion Parameter",SegAWS[],2,FALSE),FALSE)</f>
        <v>#N/A</v>
      </c>
      <c r="AS29" s="42" t="e">
        <f>VLOOKUP($Z29,SegAWS[],HLOOKUP("Dispersion Parameter",SegAWS[],2,FALSE),FALSE)</f>
        <v>#N/A</v>
      </c>
      <c r="AT29" s="42" t="e">
        <f t="shared" si="16"/>
        <v>#N/A</v>
      </c>
      <c r="AU29" s="42" t="e">
        <f t="shared" si="12"/>
        <v>#VALUE!</v>
      </c>
      <c r="AV29" s="42" t="e">
        <f t="shared" si="17"/>
        <v>#N/A</v>
      </c>
      <c r="AW29" s="42" t="e">
        <f t="shared" si="13"/>
        <v>#VALUE!</v>
      </c>
    </row>
    <row r="30" spans="1:49" x14ac:dyDescent="0.3">
      <c r="A30" s="109"/>
      <c r="B30" s="60"/>
      <c r="C30" s="60"/>
      <c r="D30" s="60"/>
      <c r="E30" s="60"/>
      <c r="F30" s="60"/>
      <c r="G30" s="60"/>
      <c r="H30" s="60"/>
      <c r="I30" s="43"/>
      <c r="J30" s="42"/>
      <c r="K30" s="43"/>
      <c r="L30" s="60"/>
      <c r="M30" s="60"/>
      <c r="N30" s="60"/>
      <c r="O30" s="43"/>
      <c r="P30" s="43"/>
      <c r="Q30" s="43"/>
      <c r="R30" s="43"/>
      <c r="S30" s="43"/>
      <c r="T30" s="43"/>
      <c r="U30" s="43"/>
      <c r="V30" s="43"/>
      <c r="W30" s="60" t="str">
        <f t="shared" si="0"/>
        <v/>
      </c>
      <c r="X30" s="43">
        <f t="shared" si="1"/>
        <v>5</v>
      </c>
      <c r="Y30" s="91" t="e">
        <f>VLOOKUP(Z30,SegAWS[],HLOOKUP("AWS Name",SegAWS[],2,FALSE),FALSE)</f>
        <v>#N/A</v>
      </c>
      <c r="Z30" s="91" t="str">
        <f t="shared" si="14"/>
        <v>Data Error: Number of Lanes</v>
      </c>
      <c r="AA30" s="108" t="str">
        <f>IFERROR(VLOOKUP($Z30,SegAWS[],HLOOKUP("KABC Scaler",SegAWS[],2,FALSE),FALSE),"Data Error")</f>
        <v>Data Error</v>
      </c>
      <c r="AB30" s="43">
        <f t="shared" si="2"/>
        <v>0</v>
      </c>
      <c r="AC30" s="42" t="str">
        <f>IF($J30="","Data Error: Segment Length",
IF(VLOOKUP($Z30,SegAWS[],HLOOKUP("Equation Form",SegAWS[],2,FALSE),FALSE)="Form 1",(((VLOOKUP($Z30,SegAWS[],HLOOKUP("Form 1 Num",SegAWS[],2,FALSE),FALSE))/(1 + EXP(-((VLOOKUP($Z30,SegAWS[],HLOOKUP("Form 1 Exp Coeff",SegAWS[],2,FALSE),FALSE))*($K30-(VLOOKUP($Z30,SegAWS[],HLOOKUP("Form 1 AADT Coeff",SegAWS[],2,FALSE),FALSE)))))))+(VLOOKUP($Z30,SegAWS[],HLOOKUP("Form 1 End Factor",SegAWS[],2,FALSE),FALSE)))*$X30*$J30,
IF(VLOOKUP($Z30,SegAWS[],HLOOKUP("Equation Form",SegAWS[],2,FALSE),FALSE)="Form 2",(EXP((VLOOKUP($Z30,SegAWS[],HLOOKUP("Form 2 Exp Coeff",SegAWS[],2,FALSE),FALSE)))*($K30^(VLOOKUP($Z30,SegAWS[],HLOOKUP("Form 2 AADT Coeff",SegAWS[],2,FALSE),FALSE))))*$X30*$J30,"Data Error: SPF Lookup Name")))</f>
        <v>Data Error: Segment Length</v>
      </c>
      <c r="AD30" s="42" t="e">
        <f>((1/(1+VLOOKUP($Z30,SegAWS[],HLOOKUP("Dispersion Parameter",SegAWS[],2,FALSE),FALSE)*AC30))*AC30
+(1-1/(1+VLOOKUP($Z30,SegAWS[],HLOOKUP("Dispersion Parameter",SegAWS[],2,FALSE),FALSE)*AC30))*AB30)</f>
        <v>#N/A</v>
      </c>
      <c r="AE30" s="43">
        <f t="shared" si="3"/>
        <v>0</v>
      </c>
      <c r="AF30" s="42" t="e">
        <f t="shared" si="15"/>
        <v>#VALUE!</v>
      </c>
      <c r="AG30" s="42" t="e">
        <f>((1/(1+VLOOKUP($Z30,SegAWS[],HLOOKUP("Dispersion Parameter",SegAWS[],2,FALSE),FALSE)*AF30))*AF30
+(1-1/(1+VLOOKUP($Z30,SegAWS[],HLOOKUP("Dispersion Parameter",SegAWS[],2,FALSE),FALSE)*AF30))*AE30)</f>
        <v>#N/A</v>
      </c>
      <c r="AH30" s="60">
        <f t="shared" si="4"/>
        <v>0</v>
      </c>
      <c r="AI30" s="60" t="str">
        <f t="shared" si="5"/>
        <v>Missing Data</v>
      </c>
      <c r="AJ30" s="42" t="str">
        <f t="shared" si="6"/>
        <v>Missing Data</v>
      </c>
      <c r="AK30" s="60" t="str">
        <f t="shared" si="7"/>
        <v>Missing Data</v>
      </c>
      <c r="AL30" s="42" t="str">
        <f t="shared" si="8"/>
        <v>Missing Data</v>
      </c>
      <c r="AM30" s="43">
        <f t="shared" si="9"/>
        <v>0</v>
      </c>
      <c r="AN30" s="43">
        <f t="shared" si="10"/>
        <v>0</v>
      </c>
      <c r="AO30" s="60" t="str">
        <f t="shared" si="11"/>
        <v>Missing Data</v>
      </c>
      <c r="AP30" s="106"/>
      <c r="AQ30" s="106"/>
      <c r="AR30" s="42" t="e">
        <f>VLOOKUP($Z30,SegAWS[],HLOOKUP("Dispersion Parameter",SegAWS[],2,FALSE),FALSE)</f>
        <v>#N/A</v>
      </c>
      <c r="AS30" s="42" t="e">
        <f>VLOOKUP($Z30,SegAWS[],HLOOKUP("Dispersion Parameter",SegAWS[],2,FALSE),FALSE)</f>
        <v>#N/A</v>
      </c>
      <c r="AT30" s="42" t="e">
        <f t="shared" si="16"/>
        <v>#N/A</v>
      </c>
      <c r="AU30" s="42" t="e">
        <f t="shared" si="12"/>
        <v>#VALUE!</v>
      </c>
      <c r="AV30" s="42" t="e">
        <f t="shared" si="17"/>
        <v>#N/A</v>
      </c>
      <c r="AW30" s="42" t="e">
        <f t="shared" si="13"/>
        <v>#VALUE!</v>
      </c>
    </row>
    <row r="31" spans="1:49" x14ac:dyDescent="0.3">
      <c r="A31" s="109"/>
      <c r="B31" s="60"/>
      <c r="C31" s="60"/>
      <c r="D31" s="60"/>
      <c r="E31" s="60"/>
      <c r="F31" s="60"/>
      <c r="G31" s="60"/>
      <c r="H31" s="60"/>
      <c r="I31" s="43"/>
      <c r="J31" s="42"/>
      <c r="K31" s="43"/>
      <c r="L31" s="60"/>
      <c r="M31" s="60"/>
      <c r="N31" s="60"/>
      <c r="O31" s="43"/>
      <c r="P31" s="43"/>
      <c r="Q31" s="43"/>
      <c r="R31" s="43"/>
      <c r="S31" s="43"/>
      <c r="T31" s="43"/>
      <c r="U31" s="43"/>
      <c r="V31" s="43"/>
      <c r="W31" s="60" t="str">
        <f t="shared" si="0"/>
        <v/>
      </c>
      <c r="X31" s="43">
        <f t="shared" si="1"/>
        <v>5</v>
      </c>
      <c r="Y31" s="91" t="e">
        <f>VLOOKUP(Z31,SegAWS[],HLOOKUP("AWS Name",SegAWS[],2,FALSE),FALSE)</f>
        <v>#N/A</v>
      </c>
      <c r="Z31" s="91" t="str">
        <f t="shared" si="14"/>
        <v>Data Error: Number of Lanes</v>
      </c>
      <c r="AA31" s="108" t="str">
        <f>IFERROR(VLOOKUP($Z31,SegAWS[],HLOOKUP("KABC Scaler",SegAWS[],2,FALSE),FALSE),"Data Error")</f>
        <v>Data Error</v>
      </c>
      <c r="AB31" s="43">
        <f t="shared" si="2"/>
        <v>0</v>
      </c>
      <c r="AC31" s="42" t="str">
        <f>IF($J31="","Data Error: Segment Length",
IF(VLOOKUP($Z31,SegAWS[],HLOOKUP("Equation Form",SegAWS[],2,FALSE),FALSE)="Form 1",(((VLOOKUP($Z31,SegAWS[],HLOOKUP("Form 1 Num",SegAWS[],2,FALSE),FALSE))/(1 + EXP(-((VLOOKUP($Z31,SegAWS[],HLOOKUP("Form 1 Exp Coeff",SegAWS[],2,FALSE),FALSE))*($K31-(VLOOKUP($Z31,SegAWS[],HLOOKUP("Form 1 AADT Coeff",SegAWS[],2,FALSE),FALSE)))))))+(VLOOKUP($Z31,SegAWS[],HLOOKUP("Form 1 End Factor",SegAWS[],2,FALSE),FALSE)))*$X31*$J31,
IF(VLOOKUP($Z31,SegAWS[],HLOOKUP("Equation Form",SegAWS[],2,FALSE),FALSE)="Form 2",(EXP((VLOOKUP($Z31,SegAWS[],HLOOKUP("Form 2 Exp Coeff",SegAWS[],2,FALSE),FALSE)))*($K31^(VLOOKUP($Z31,SegAWS[],HLOOKUP("Form 2 AADT Coeff",SegAWS[],2,FALSE),FALSE))))*$X31*$J31,"Data Error: SPF Lookup Name")))</f>
        <v>Data Error: Segment Length</v>
      </c>
      <c r="AD31" s="42" t="e">
        <f>((1/(1+VLOOKUP($Z31,SegAWS[],HLOOKUP("Dispersion Parameter",SegAWS[],2,FALSE),FALSE)*AC31))*AC31
+(1-1/(1+VLOOKUP($Z31,SegAWS[],HLOOKUP("Dispersion Parameter",SegAWS[],2,FALSE),FALSE)*AC31))*AB31)</f>
        <v>#N/A</v>
      </c>
      <c r="AE31" s="43">
        <f t="shared" si="3"/>
        <v>0</v>
      </c>
      <c r="AF31" s="42" t="e">
        <f t="shared" si="15"/>
        <v>#VALUE!</v>
      </c>
      <c r="AG31" s="42" t="e">
        <f>((1/(1+VLOOKUP($Z31,SegAWS[],HLOOKUP("Dispersion Parameter",SegAWS[],2,FALSE),FALSE)*AF31))*AF31
+(1-1/(1+VLOOKUP($Z31,SegAWS[],HLOOKUP("Dispersion Parameter",SegAWS[],2,FALSE),FALSE)*AF31))*AE31)</f>
        <v>#N/A</v>
      </c>
      <c r="AH31" s="60">
        <f t="shared" si="4"/>
        <v>0</v>
      </c>
      <c r="AI31" s="60" t="str">
        <f t="shared" si="5"/>
        <v>Missing Data</v>
      </c>
      <c r="AJ31" s="42" t="str">
        <f t="shared" si="6"/>
        <v>Missing Data</v>
      </c>
      <c r="AK31" s="60" t="str">
        <f t="shared" si="7"/>
        <v>Missing Data</v>
      </c>
      <c r="AL31" s="42" t="str">
        <f t="shared" si="8"/>
        <v>Missing Data</v>
      </c>
      <c r="AM31" s="43">
        <f t="shared" si="9"/>
        <v>0</v>
      </c>
      <c r="AN31" s="43">
        <f t="shared" si="10"/>
        <v>0</v>
      </c>
      <c r="AO31" s="60" t="str">
        <f t="shared" si="11"/>
        <v>Missing Data</v>
      </c>
      <c r="AP31" s="106"/>
      <c r="AQ31" s="106"/>
      <c r="AR31" s="42" t="e">
        <f>VLOOKUP($Z31,SegAWS[],HLOOKUP("Dispersion Parameter",SegAWS[],2,FALSE),FALSE)</f>
        <v>#N/A</v>
      </c>
      <c r="AS31" s="42" t="e">
        <f>VLOOKUP($Z31,SegAWS[],HLOOKUP("Dispersion Parameter",SegAWS[],2,FALSE),FALSE)</f>
        <v>#N/A</v>
      </c>
      <c r="AT31" s="42" t="e">
        <f t="shared" si="16"/>
        <v>#N/A</v>
      </c>
      <c r="AU31" s="42" t="e">
        <f t="shared" si="12"/>
        <v>#VALUE!</v>
      </c>
      <c r="AV31" s="42" t="e">
        <f t="shared" si="17"/>
        <v>#N/A</v>
      </c>
      <c r="AW31" s="42" t="e">
        <f t="shared" si="13"/>
        <v>#VALUE!</v>
      </c>
    </row>
    <row r="32" spans="1:49" x14ac:dyDescent="0.3">
      <c r="A32" s="109"/>
      <c r="B32" s="60"/>
      <c r="C32" s="60"/>
      <c r="D32" s="60"/>
      <c r="E32" s="60"/>
      <c r="F32" s="60"/>
      <c r="G32" s="60"/>
      <c r="H32" s="60"/>
      <c r="I32" s="43"/>
      <c r="J32" s="42"/>
      <c r="K32" s="43"/>
      <c r="L32" s="60"/>
      <c r="M32" s="60"/>
      <c r="N32" s="60"/>
      <c r="O32" s="43"/>
      <c r="P32" s="43"/>
      <c r="Q32" s="43"/>
      <c r="R32" s="43"/>
      <c r="S32" s="43"/>
      <c r="T32" s="43"/>
      <c r="U32" s="43"/>
      <c r="V32" s="43"/>
      <c r="W32" s="60" t="str">
        <f t="shared" si="0"/>
        <v/>
      </c>
      <c r="X32" s="43">
        <f t="shared" si="1"/>
        <v>5</v>
      </c>
      <c r="Y32" s="91" t="e">
        <f>VLOOKUP(Z32,SegAWS[],HLOOKUP("AWS Name",SegAWS[],2,FALSE),FALSE)</f>
        <v>#N/A</v>
      </c>
      <c r="Z32" s="91" t="str">
        <f t="shared" si="14"/>
        <v>Data Error: Number of Lanes</v>
      </c>
      <c r="AA32" s="108" t="str">
        <f>IFERROR(VLOOKUP($Z32,SegAWS[],HLOOKUP("KABC Scaler",SegAWS[],2,FALSE),FALSE),"Data Error")</f>
        <v>Data Error</v>
      </c>
      <c r="AB32" s="43">
        <f t="shared" si="2"/>
        <v>0</v>
      </c>
      <c r="AC32" s="42" t="str">
        <f>IF($J32="","Data Error: Segment Length",
IF(VLOOKUP($Z32,SegAWS[],HLOOKUP("Equation Form",SegAWS[],2,FALSE),FALSE)="Form 1",(((VLOOKUP($Z32,SegAWS[],HLOOKUP("Form 1 Num",SegAWS[],2,FALSE),FALSE))/(1 + EXP(-((VLOOKUP($Z32,SegAWS[],HLOOKUP("Form 1 Exp Coeff",SegAWS[],2,FALSE),FALSE))*($K32-(VLOOKUP($Z32,SegAWS[],HLOOKUP("Form 1 AADT Coeff",SegAWS[],2,FALSE),FALSE)))))))+(VLOOKUP($Z32,SegAWS[],HLOOKUP("Form 1 End Factor",SegAWS[],2,FALSE),FALSE)))*$X32*$J32,
IF(VLOOKUP($Z32,SegAWS[],HLOOKUP("Equation Form",SegAWS[],2,FALSE),FALSE)="Form 2",(EXP((VLOOKUP($Z32,SegAWS[],HLOOKUP("Form 2 Exp Coeff",SegAWS[],2,FALSE),FALSE)))*($K32^(VLOOKUP($Z32,SegAWS[],HLOOKUP("Form 2 AADT Coeff",SegAWS[],2,FALSE),FALSE))))*$X32*$J32,"Data Error: SPF Lookup Name")))</f>
        <v>Data Error: Segment Length</v>
      </c>
      <c r="AD32" s="42" t="e">
        <f>((1/(1+VLOOKUP($Z32,SegAWS[],HLOOKUP("Dispersion Parameter",SegAWS[],2,FALSE),FALSE)*AC32))*AC32
+(1-1/(1+VLOOKUP($Z32,SegAWS[],HLOOKUP("Dispersion Parameter",SegAWS[],2,FALSE),FALSE)*AC32))*AB32)</f>
        <v>#N/A</v>
      </c>
      <c r="AE32" s="43">
        <f t="shared" si="3"/>
        <v>0</v>
      </c>
      <c r="AF32" s="42" t="e">
        <f t="shared" si="15"/>
        <v>#VALUE!</v>
      </c>
      <c r="AG32" s="42" t="e">
        <f>((1/(1+VLOOKUP($Z32,SegAWS[],HLOOKUP("Dispersion Parameter",SegAWS[],2,FALSE),FALSE)*AF32))*AF32
+(1-1/(1+VLOOKUP($Z32,SegAWS[],HLOOKUP("Dispersion Parameter",SegAWS[],2,FALSE),FALSE)*AF32))*AE32)</f>
        <v>#N/A</v>
      </c>
      <c r="AH32" s="60">
        <f t="shared" si="4"/>
        <v>0</v>
      </c>
      <c r="AI32" s="60" t="str">
        <f t="shared" si="5"/>
        <v>Missing Data</v>
      </c>
      <c r="AJ32" s="42" t="str">
        <f t="shared" si="6"/>
        <v>Missing Data</v>
      </c>
      <c r="AK32" s="60" t="str">
        <f t="shared" si="7"/>
        <v>Missing Data</v>
      </c>
      <c r="AL32" s="42" t="str">
        <f t="shared" si="8"/>
        <v>Missing Data</v>
      </c>
      <c r="AM32" s="43">
        <f t="shared" si="9"/>
        <v>0</v>
      </c>
      <c r="AN32" s="43">
        <f t="shared" si="10"/>
        <v>0</v>
      </c>
      <c r="AO32" s="60" t="str">
        <f t="shared" si="11"/>
        <v>Missing Data</v>
      </c>
      <c r="AP32" s="106"/>
      <c r="AQ32" s="106"/>
      <c r="AR32" s="42" t="e">
        <f>VLOOKUP($Z32,SegAWS[],HLOOKUP("Dispersion Parameter",SegAWS[],2,FALSE),FALSE)</f>
        <v>#N/A</v>
      </c>
      <c r="AS32" s="42" t="e">
        <f>VLOOKUP($Z32,SegAWS[],HLOOKUP("Dispersion Parameter",SegAWS[],2,FALSE),FALSE)</f>
        <v>#N/A</v>
      </c>
      <c r="AT32" s="42" t="e">
        <f t="shared" si="16"/>
        <v>#N/A</v>
      </c>
      <c r="AU32" s="42" t="e">
        <f t="shared" si="12"/>
        <v>#VALUE!</v>
      </c>
      <c r="AV32" s="42" t="e">
        <f t="shared" si="17"/>
        <v>#N/A</v>
      </c>
      <c r="AW32" s="42" t="e">
        <f t="shared" si="13"/>
        <v>#VALUE!</v>
      </c>
    </row>
    <row r="33" spans="1:49" x14ac:dyDescent="0.3">
      <c r="A33" s="110"/>
      <c r="B33" s="101"/>
      <c r="C33" s="101"/>
      <c r="D33" s="101"/>
      <c r="E33" s="101"/>
      <c r="F33" s="101"/>
      <c r="G33" s="101"/>
      <c r="H33" s="101"/>
      <c r="I33" s="43"/>
      <c r="J33" s="41"/>
      <c r="K33" s="43"/>
      <c r="L33" s="101"/>
      <c r="M33" s="101"/>
      <c r="N33" s="101"/>
      <c r="O33" s="44"/>
      <c r="P33" s="44"/>
      <c r="Q33" s="44"/>
      <c r="R33" s="44"/>
      <c r="S33" s="44"/>
      <c r="T33" s="44"/>
      <c r="U33" s="44"/>
      <c r="V33" s="44"/>
      <c r="W33" s="101" t="str">
        <f t="shared" si="0"/>
        <v/>
      </c>
      <c r="X33" s="43">
        <f t="shared" si="1"/>
        <v>5</v>
      </c>
      <c r="Y33" s="85" t="e">
        <f>VLOOKUP(Z33,SegAWS[],HLOOKUP("AWS Name",SegAWS[],2,FALSE),FALSE)</f>
        <v>#N/A</v>
      </c>
      <c r="Z33" s="91" t="str">
        <f t="shared" si="14"/>
        <v>Data Error: Number of Lanes</v>
      </c>
      <c r="AA33" s="108" t="str">
        <f>IFERROR(VLOOKUP($Z33,SegAWS[],HLOOKUP("KABC Scaler",SegAWS[],2,FALSE),FALSE),"Data Error")</f>
        <v>Data Error</v>
      </c>
      <c r="AB33" s="44">
        <f t="shared" ref="AB33:AB75" si="36">SUM(Q33:V33)</f>
        <v>0</v>
      </c>
      <c r="AC33" s="42" t="str">
        <f>IF($J33="","Data Error: Segment Length",
IF(VLOOKUP($Z33,SegAWS[],HLOOKUP("Equation Form",SegAWS[],2,FALSE),FALSE)="Form 1",(((VLOOKUP($Z33,SegAWS[],HLOOKUP("Form 1 Num",SegAWS[],2,FALSE),FALSE))/(1 + EXP(-((VLOOKUP($Z33,SegAWS[],HLOOKUP("Form 1 Exp Coeff",SegAWS[],2,FALSE),FALSE))*($K33-(VLOOKUP($Z33,SegAWS[],HLOOKUP("Form 1 AADT Coeff",SegAWS[],2,FALSE),FALSE)))))))+(VLOOKUP($Z33,SegAWS[],HLOOKUP("Form 1 End Factor",SegAWS[],2,FALSE),FALSE)))*$X33*$J33,
IF(VLOOKUP($Z33,SegAWS[],HLOOKUP("Equation Form",SegAWS[],2,FALSE),FALSE)="Form 2",(EXP((VLOOKUP($Z33,SegAWS[],HLOOKUP("Form 2 Exp Coeff",SegAWS[],2,FALSE),FALSE)))*($K33^(VLOOKUP($Z33,SegAWS[],HLOOKUP("Form 2 AADT Coeff",SegAWS[],2,FALSE),FALSE))))*$X33*$J33,"Data Error: SPF Lookup Name")))</f>
        <v>Data Error: Segment Length</v>
      </c>
      <c r="AD33" s="42" t="e">
        <f>((1/(1+VLOOKUP($Z33,SegAWS[],HLOOKUP("Dispersion Parameter",SegAWS[],2,FALSE),FALSE)*AC33))*AC33
+(1-1/(1+VLOOKUP($Z33,SegAWS[],HLOOKUP("Dispersion Parameter",SegAWS[],2,FALSE),FALSE)*AC33))*AB33)</f>
        <v>#N/A</v>
      </c>
      <c r="AE33" s="44">
        <f t="shared" ref="AE33:AE75" si="37">SUM(Q33:T33)</f>
        <v>0</v>
      </c>
      <c r="AF33" s="42" t="e">
        <f t="shared" si="15"/>
        <v>#VALUE!</v>
      </c>
      <c r="AG33" s="41" t="e">
        <f>((1/(1+VLOOKUP($Z33,SegAWS[],HLOOKUP("Dispersion Parameter",SegAWS[],2,FALSE),FALSE)*AF33))*AF33
+(1-1/(1+VLOOKUP($Z33,SegAWS[],HLOOKUP("Dispersion Parameter",SegAWS[],2,FALSE),FALSE)*AF33))*AE33)</f>
        <v>#N/A</v>
      </c>
      <c r="AH33" s="101">
        <f t="shared" si="4"/>
        <v>0</v>
      </c>
      <c r="AI33" s="101" t="str">
        <f t="shared" ref="AI33:AI75" si="38">IFERROR(IF(AD33&lt;_xlfn.GAMMA.INV($AT$4,AT33,AU33),"LOSS 1",
IF(AD33&lt;AC33,"LOSS 2",
IF(AD33&lt;_xlfn.GAMMA.INV($AV$4,AT33,AU33),"LOSS 3",
IF(AD33&gt;=_xlfn.GAMMA.INV($AV$4,AT33,AU33),"LOSS 4","Error")))),"Missing Data")</f>
        <v>Missing Data</v>
      </c>
      <c r="AJ33" s="41" t="str">
        <f t="shared" ref="AJ33:AJ75" si="39">IFERROR(AD33-AC33,"Missing Data")</f>
        <v>Missing Data</v>
      </c>
      <c r="AK33" s="101" t="str">
        <f t="shared" ref="AK33:AK75" si="40">IFERROR(IF(AG33&lt;_xlfn.GAMMA.INV($AU$4,AV33,AW33),"LOSS 1",
IF(AG33&lt;AF33,"LOSS 2",
IF(AG33&lt;_xlfn.GAMMA.INV($AW$4,AV33,AW33),"LOSS 3",
IF(AG33&gt;=_xlfn.GAMMA.INV($AW$4,AV33,AW33),"LOSS 4","Error")))),"Missing Data")</f>
        <v>Missing Data</v>
      </c>
      <c r="AL33" s="41" t="str">
        <f t="shared" ref="AL33:AL75" si="41">IFERROR(AG33-AF33,"Missing Data")</f>
        <v>Missing Data</v>
      </c>
      <c r="AM33" s="44">
        <f t="shared" ref="AM33:AM75" si="42">O33</f>
        <v>0</v>
      </c>
      <c r="AN33" s="44">
        <f t="shared" ref="AN33:AN75" si="43">P33</f>
        <v>0</v>
      </c>
      <c r="AO33" s="60" t="str">
        <f t="shared" si="11"/>
        <v>Missing Data</v>
      </c>
      <c r="AP33" s="107"/>
      <c r="AQ33" s="107"/>
      <c r="AR33" s="41" t="e">
        <f>VLOOKUP($Z33,SegAWS[],HLOOKUP("Dispersion Parameter",SegAWS[],2,FALSE),FALSE)</f>
        <v>#N/A</v>
      </c>
      <c r="AS33" s="42" t="e">
        <f>VLOOKUP($Z33,SegAWS[],HLOOKUP("Dispersion Parameter",SegAWS[],2,FALSE),FALSE)</f>
        <v>#N/A</v>
      </c>
      <c r="AT33" s="41" t="e">
        <f t="shared" ref="AT33:AT75" si="44">1/AR33</f>
        <v>#N/A</v>
      </c>
      <c r="AU33" s="41" t="e">
        <f t="shared" ref="AU33:AU75" si="45">AC33/AT33</f>
        <v>#VALUE!</v>
      </c>
      <c r="AV33" s="41" t="e">
        <f t="shared" ref="AV33:AV75" si="46">1/AS33</f>
        <v>#N/A</v>
      </c>
      <c r="AW33" s="41" t="e">
        <f t="shared" ref="AW33:AW75" si="47">AF33/AV33</f>
        <v>#VALUE!</v>
      </c>
    </row>
    <row r="34" spans="1:49" x14ac:dyDescent="0.3">
      <c r="A34" s="110"/>
      <c r="B34" s="101"/>
      <c r="C34" s="101"/>
      <c r="D34" s="101"/>
      <c r="E34" s="101"/>
      <c r="F34" s="101"/>
      <c r="G34" s="101"/>
      <c r="H34" s="101"/>
      <c r="I34" s="43"/>
      <c r="J34" s="41"/>
      <c r="K34" s="43"/>
      <c r="L34" s="101"/>
      <c r="M34" s="101"/>
      <c r="N34" s="101"/>
      <c r="O34" s="44"/>
      <c r="P34" s="44"/>
      <c r="Q34" s="44"/>
      <c r="R34" s="44"/>
      <c r="S34" s="44"/>
      <c r="T34" s="44"/>
      <c r="U34" s="44"/>
      <c r="V34" s="44"/>
      <c r="W34" s="101" t="str">
        <f t="shared" si="0"/>
        <v/>
      </c>
      <c r="X34" s="43">
        <f t="shared" si="1"/>
        <v>5</v>
      </c>
      <c r="Y34" s="85" t="e">
        <f>VLOOKUP(Z34,SegAWS[],HLOOKUP("AWS Name",SegAWS[],2,FALSE),FALSE)</f>
        <v>#N/A</v>
      </c>
      <c r="Z34" s="91" t="str">
        <f t="shared" si="14"/>
        <v>Data Error: Number of Lanes</v>
      </c>
      <c r="AA34" s="108" t="str">
        <f>IFERROR(VLOOKUP($Z34,SegAWS[],HLOOKUP("KABC Scaler",SegAWS[],2,FALSE),FALSE),"Data Error")</f>
        <v>Data Error</v>
      </c>
      <c r="AB34" s="44">
        <f t="shared" si="36"/>
        <v>0</v>
      </c>
      <c r="AC34" s="42" t="str">
        <f>IF($J34="","Data Error: Segment Length",
IF(VLOOKUP($Z34,SegAWS[],HLOOKUP("Equation Form",SegAWS[],2,FALSE),FALSE)="Form 1",(((VLOOKUP($Z34,SegAWS[],HLOOKUP("Form 1 Num",SegAWS[],2,FALSE),FALSE))/(1 + EXP(-((VLOOKUP($Z34,SegAWS[],HLOOKUP("Form 1 Exp Coeff",SegAWS[],2,FALSE),FALSE))*($K34-(VLOOKUP($Z34,SegAWS[],HLOOKUP("Form 1 AADT Coeff",SegAWS[],2,FALSE),FALSE)))))))+(VLOOKUP($Z34,SegAWS[],HLOOKUP("Form 1 End Factor",SegAWS[],2,FALSE),FALSE)))*$X34*$J34,
IF(VLOOKUP($Z34,SegAWS[],HLOOKUP("Equation Form",SegAWS[],2,FALSE),FALSE)="Form 2",(EXP((VLOOKUP($Z34,SegAWS[],HLOOKUP("Form 2 Exp Coeff",SegAWS[],2,FALSE),FALSE)))*($K34^(VLOOKUP($Z34,SegAWS[],HLOOKUP("Form 2 AADT Coeff",SegAWS[],2,FALSE),FALSE))))*$X34*$J34,"Data Error: SPF Lookup Name")))</f>
        <v>Data Error: Segment Length</v>
      </c>
      <c r="AD34" s="42" t="e">
        <f>((1/(1+VLOOKUP($Z34,SegAWS[],HLOOKUP("Dispersion Parameter",SegAWS[],2,FALSE),FALSE)*AC34))*AC34
+(1-1/(1+VLOOKUP($Z34,SegAWS[],HLOOKUP("Dispersion Parameter",SegAWS[],2,FALSE),FALSE)*AC34))*AB34)</f>
        <v>#N/A</v>
      </c>
      <c r="AE34" s="44">
        <f t="shared" si="37"/>
        <v>0</v>
      </c>
      <c r="AF34" s="42" t="e">
        <f t="shared" si="15"/>
        <v>#VALUE!</v>
      </c>
      <c r="AG34" s="41" t="e">
        <f>((1/(1+VLOOKUP($Z34,SegAWS[],HLOOKUP("Dispersion Parameter",SegAWS[],2,FALSE),FALSE)*AF34))*AF34
+(1-1/(1+VLOOKUP($Z34,SegAWS[],HLOOKUP("Dispersion Parameter",SegAWS[],2,FALSE),FALSE)*AF34))*AE34)</f>
        <v>#N/A</v>
      </c>
      <c r="AH34" s="101">
        <f t="shared" si="4"/>
        <v>0</v>
      </c>
      <c r="AI34" s="101" t="str">
        <f t="shared" si="38"/>
        <v>Missing Data</v>
      </c>
      <c r="AJ34" s="41" t="str">
        <f t="shared" si="39"/>
        <v>Missing Data</v>
      </c>
      <c r="AK34" s="101" t="str">
        <f t="shared" si="40"/>
        <v>Missing Data</v>
      </c>
      <c r="AL34" s="41" t="str">
        <f t="shared" si="41"/>
        <v>Missing Data</v>
      </c>
      <c r="AM34" s="44">
        <f t="shared" si="42"/>
        <v>0</v>
      </c>
      <c r="AN34" s="44">
        <f t="shared" si="43"/>
        <v>0</v>
      </c>
      <c r="AO34" s="60" t="str">
        <f t="shared" si="11"/>
        <v>Missing Data</v>
      </c>
      <c r="AP34" s="107"/>
      <c r="AQ34" s="107"/>
      <c r="AR34" s="41" t="e">
        <f>VLOOKUP($Z34,SegAWS[],HLOOKUP("Dispersion Parameter",SegAWS[],2,FALSE),FALSE)</f>
        <v>#N/A</v>
      </c>
      <c r="AS34" s="42" t="e">
        <f>VLOOKUP($Z34,SegAWS[],HLOOKUP("Dispersion Parameter",SegAWS[],2,FALSE),FALSE)</f>
        <v>#N/A</v>
      </c>
      <c r="AT34" s="41" t="e">
        <f t="shared" si="44"/>
        <v>#N/A</v>
      </c>
      <c r="AU34" s="41" t="e">
        <f t="shared" si="45"/>
        <v>#VALUE!</v>
      </c>
      <c r="AV34" s="41" t="e">
        <f t="shared" si="46"/>
        <v>#N/A</v>
      </c>
      <c r="AW34" s="41" t="e">
        <f t="shared" si="47"/>
        <v>#VALUE!</v>
      </c>
    </row>
    <row r="35" spans="1:49" x14ac:dyDescent="0.3">
      <c r="A35" s="110"/>
      <c r="B35" s="101"/>
      <c r="C35" s="101"/>
      <c r="D35" s="101"/>
      <c r="E35" s="101"/>
      <c r="F35" s="101"/>
      <c r="G35" s="101"/>
      <c r="H35" s="101"/>
      <c r="I35" s="43"/>
      <c r="J35" s="41"/>
      <c r="K35" s="43"/>
      <c r="L35" s="101"/>
      <c r="M35" s="101"/>
      <c r="N35" s="101"/>
      <c r="O35" s="44"/>
      <c r="P35" s="44"/>
      <c r="Q35" s="44"/>
      <c r="R35" s="44"/>
      <c r="S35" s="44"/>
      <c r="T35" s="44"/>
      <c r="U35" s="44"/>
      <c r="V35" s="44"/>
      <c r="W35" s="101" t="str">
        <f t="shared" si="0"/>
        <v/>
      </c>
      <c r="X35" s="43">
        <f t="shared" si="1"/>
        <v>5</v>
      </c>
      <c r="Y35" s="85" t="e">
        <f>VLOOKUP(Z35,SegAWS[],HLOOKUP("AWS Name",SegAWS[],2,FALSE),FALSE)</f>
        <v>#N/A</v>
      </c>
      <c r="Z35" s="91" t="str">
        <f t="shared" si="14"/>
        <v>Data Error: Number of Lanes</v>
      </c>
      <c r="AA35" s="108" t="str">
        <f>IFERROR(VLOOKUP($Z35,SegAWS[],HLOOKUP("KABC Scaler",SegAWS[],2,FALSE),FALSE),"Data Error")</f>
        <v>Data Error</v>
      </c>
      <c r="AB35" s="44">
        <f t="shared" si="36"/>
        <v>0</v>
      </c>
      <c r="AC35" s="42" t="str">
        <f>IF($J35="","Data Error: Segment Length",
IF(VLOOKUP($Z35,SegAWS[],HLOOKUP("Equation Form",SegAWS[],2,FALSE),FALSE)="Form 1",(((VLOOKUP($Z35,SegAWS[],HLOOKUP("Form 1 Num",SegAWS[],2,FALSE),FALSE))/(1 + EXP(-((VLOOKUP($Z35,SegAWS[],HLOOKUP("Form 1 Exp Coeff",SegAWS[],2,FALSE),FALSE))*($K35-(VLOOKUP($Z35,SegAWS[],HLOOKUP("Form 1 AADT Coeff",SegAWS[],2,FALSE),FALSE)))))))+(VLOOKUP($Z35,SegAWS[],HLOOKUP("Form 1 End Factor",SegAWS[],2,FALSE),FALSE)))*$X35*$J35,
IF(VLOOKUP($Z35,SegAWS[],HLOOKUP("Equation Form",SegAWS[],2,FALSE),FALSE)="Form 2",(EXP((VLOOKUP($Z35,SegAWS[],HLOOKUP("Form 2 Exp Coeff",SegAWS[],2,FALSE),FALSE)))*($K35^(VLOOKUP($Z35,SegAWS[],HLOOKUP("Form 2 AADT Coeff",SegAWS[],2,FALSE),FALSE))))*$X35*$J35,"Data Error: SPF Lookup Name")))</f>
        <v>Data Error: Segment Length</v>
      </c>
      <c r="AD35" s="42" t="e">
        <f>((1/(1+VLOOKUP($Z35,SegAWS[],HLOOKUP("Dispersion Parameter",SegAWS[],2,FALSE),FALSE)*AC35))*AC35
+(1-1/(1+VLOOKUP($Z35,SegAWS[],HLOOKUP("Dispersion Parameter",SegAWS[],2,FALSE),FALSE)*AC35))*AB35)</f>
        <v>#N/A</v>
      </c>
      <c r="AE35" s="44">
        <f t="shared" si="37"/>
        <v>0</v>
      </c>
      <c r="AF35" s="42" t="e">
        <f t="shared" si="15"/>
        <v>#VALUE!</v>
      </c>
      <c r="AG35" s="41" t="e">
        <f>((1/(1+VLOOKUP($Z35,SegAWS[],HLOOKUP("Dispersion Parameter",SegAWS[],2,FALSE),FALSE)*AF35))*AF35
+(1-1/(1+VLOOKUP($Z35,SegAWS[],HLOOKUP("Dispersion Parameter",SegAWS[],2,FALSE),FALSE)*AF35))*AE35)</f>
        <v>#N/A</v>
      </c>
      <c r="AH35" s="101">
        <f t="shared" si="4"/>
        <v>0</v>
      </c>
      <c r="AI35" s="101" t="str">
        <f t="shared" si="38"/>
        <v>Missing Data</v>
      </c>
      <c r="AJ35" s="41" t="str">
        <f t="shared" si="39"/>
        <v>Missing Data</v>
      </c>
      <c r="AK35" s="101" t="str">
        <f t="shared" si="40"/>
        <v>Missing Data</v>
      </c>
      <c r="AL35" s="41" t="str">
        <f t="shared" si="41"/>
        <v>Missing Data</v>
      </c>
      <c r="AM35" s="44">
        <f t="shared" si="42"/>
        <v>0</v>
      </c>
      <c r="AN35" s="44">
        <f t="shared" si="43"/>
        <v>0</v>
      </c>
      <c r="AO35" s="60" t="str">
        <f t="shared" si="11"/>
        <v>Missing Data</v>
      </c>
      <c r="AP35" s="107"/>
      <c r="AQ35" s="107"/>
      <c r="AR35" s="41" t="e">
        <f>VLOOKUP($Z35,SegAWS[],HLOOKUP("Dispersion Parameter",SegAWS[],2,FALSE),FALSE)</f>
        <v>#N/A</v>
      </c>
      <c r="AS35" s="42" t="e">
        <f>VLOOKUP($Z35,SegAWS[],HLOOKUP("Dispersion Parameter",SegAWS[],2,FALSE),FALSE)</f>
        <v>#N/A</v>
      </c>
      <c r="AT35" s="41" t="e">
        <f t="shared" si="44"/>
        <v>#N/A</v>
      </c>
      <c r="AU35" s="41" t="e">
        <f t="shared" si="45"/>
        <v>#VALUE!</v>
      </c>
      <c r="AV35" s="41" t="e">
        <f t="shared" si="46"/>
        <v>#N/A</v>
      </c>
      <c r="AW35" s="41" t="e">
        <f t="shared" si="47"/>
        <v>#VALUE!</v>
      </c>
    </row>
    <row r="36" spans="1:49" x14ac:dyDescent="0.3">
      <c r="A36" s="110"/>
      <c r="B36" s="101"/>
      <c r="C36" s="101"/>
      <c r="D36" s="101"/>
      <c r="E36" s="101"/>
      <c r="F36" s="101"/>
      <c r="G36" s="101"/>
      <c r="H36" s="101"/>
      <c r="I36" s="43"/>
      <c r="J36" s="41"/>
      <c r="K36" s="43"/>
      <c r="L36" s="101"/>
      <c r="M36" s="101"/>
      <c r="N36" s="101"/>
      <c r="O36" s="44"/>
      <c r="P36" s="44"/>
      <c r="Q36" s="44"/>
      <c r="R36" s="44"/>
      <c r="S36" s="44"/>
      <c r="T36" s="44"/>
      <c r="U36" s="44"/>
      <c r="V36" s="44"/>
      <c r="W36" s="101" t="str">
        <f t="shared" si="0"/>
        <v/>
      </c>
      <c r="X36" s="43">
        <f t="shared" si="1"/>
        <v>5</v>
      </c>
      <c r="Y36" s="85" t="e">
        <f>VLOOKUP(Z36,SegAWS[],HLOOKUP("AWS Name",SegAWS[],2,FALSE),FALSE)</f>
        <v>#N/A</v>
      </c>
      <c r="Z36" s="91" t="str">
        <f t="shared" si="14"/>
        <v>Data Error: Number of Lanes</v>
      </c>
      <c r="AA36" s="108" t="str">
        <f>IFERROR(VLOOKUP($Z36,SegAWS[],HLOOKUP("KABC Scaler",SegAWS[],2,FALSE),FALSE),"Data Error")</f>
        <v>Data Error</v>
      </c>
      <c r="AB36" s="44">
        <f t="shared" si="36"/>
        <v>0</v>
      </c>
      <c r="AC36" s="42" t="str">
        <f>IF($J36="","Data Error: Segment Length",
IF(VLOOKUP($Z36,SegAWS[],HLOOKUP("Equation Form",SegAWS[],2,FALSE),FALSE)="Form 1",(((VLOOKUP($Z36,SegAWS[],HLOOKUP("Form 1 Num",SegAWS[],2,FALSE),FALSE))/(1 + EXP(-((VLOOKUP($Z36,SegAWS[],HLOOKUP("Form 1 Exp Coeff",SegAWS[],2,FALSE),FALSE))*($K36-(VLOOKUP($Z36,SegAWS[],HLOOKUP("Form 1 AADT Coeff",SegAWS[],2,FALSE),FALSE)))))))+(VLOOKUP($Z36,SegAWS[],HLOOKUP("Form 1 End Factor",SegAWS[],2,FALSE),FALSE)))*$X36*$J36,
IF(VLOOKUP($Z36,SegAWS[],HLOOKUP("Equation Form",SegAWS[],2,FALSE),FALSE)="Form 2",(EXP((VLOOKUP($Z36,SegAWS[],HLOOKUP("Form 2 Exp Coeff",SegAWS[],2,FALSE),FALSE)))*($K36^(VLOOKUP($Z36,SegAWS[],HLOOKUP("Form 2 AADT Coeff",SegAWS[],2,FALSE),FALSE))))*$X36*$J36,"Data Error: SPF Lookup Name")))</f>
        <v>Data Error: Segment Length</v>
      </c>
      <c r="AD36" s="42" t="e">
        <f>((1/(1+VLOOKUP($Z36,SegAWS[],HLOOKUP("Dispersion Parameter",SegAWS[],2,FALSE),FALSE)*AC36))*AC36
+(1-1/(1+VLOOKUP($Z36,SegAWS[],HLOOKUP("Dispersion Parameter",SegAWS[],2,FALSE),FALSE)*AC36))*AB36)</f>
        <v>#N/A</v>
      </c>
      <c r="AE36" s="44">
        <f t="shared" si="37"/>
        <v>0</v>
      </c>
      <c r="AF36" s="42" t="e">
        <f t="shared" si="15"/>
        <v>#VALUE!</v>
      </c>
      <c r="AG36" s="41" t="e">
        <f>((1/(1+VLOOKUP($Z36,SegAWS[],HLOOKUP("Dispersion Parameter",SegAWS[],2,FALSE),FALSE)*AF36))*AF36
+(1-1/(1+VLOOKUP($Z36,SegAWS[],HLOOKUP("Dispersion Parameter",SegAWS[],2,FALSE),FALSE)*AF36))*AE36)</f>
        <v>#N/A</v>
      </c>
      <c r="AH36" s="101">
        <f t="shared" si="4"/>
        <v>0</v>
      </c>
      <c r="AI36" s="101" t="str">
        <f t="shared" si="38"/>
        <v>Missing Data</v>
      </c>
      <c r="AJ36" s="41" t="str">
        <f t="shared" si="39"/>
        <v>Missing Data</v>
      </c>
      <c r="AK36" s="101" t="str">
        <f t="shared" si="40"/>
        <v>Missing Data</v>
      </c>
      <c r="AL36" s="41" t="str">
        <f t="shared" si="41"/>
        <v>Missing Data</v>
      </c>
      <c r="AM36" s="44">
        <f t="shared" si="42"/>
        <v>0</v>
      </c>
      <c r="AN36" s="44">
        <f t="shared" si="43"/>
        <v>0</v>
      </c>
      <c r="AO36" s="60" t="str">
        <f t="shared" si="11"/>
        <v>Missing Data</v>
      </c>
      <c r="AP36" s="107"/>
      <c r="AQ36" s="107"/>
      <c r="AR36" s="41" t="e">
        <f>VLOOKUP($Z36,SegAWS[],HLOOKUP("Dispersion Parameter",SegAWS[],2,FALSE),FALSE)</f>
        <v>#N/A</v>
      </c>
      <c r="AS36" s="42" t="e">
        <f>VLOOKUP($Z36,SegAWS[],HLOOKUP("Dispersion Parameter",SegAWS[],2,FALSE),FALSE)</f>
        <v>#N/A</v>
      </c>
      <c r="AT36" s="41" t="e">
        <f t="shared" si="44"/>
        <v>#N/A</v>
      </c>
      <c r="AU36" s="41" t="e">
        <f t="shared" si="45"/>
        <v>#VALUE!</v>
      </c>
      <c r="AV36" s="41" t="e">
        <f t="shared" si="46"/>
        <v>#N/A</v>
      </c>
      <c r="AW36" s="41" t="e">
        <f t="shared" si="47"/>
        <v>#VALUE!</v>
      </c>
    </row>
    <row r="37" spans="1:49" x14ac:dyDescent="0.3">
      <c r="A37" s="110"/>
      <c r="B37" s="101"/>
      <c r="C37" s="101"/>
      <c r="D37" s="101"/>
      <c r="E37" s="101"/>
      <c r="F37" s="101"/>
      <c r="G37" s="101"/>
      <c r="H37" s="101"/>
      <c r="I37" s="43"/>
      <c r="J37" s="41"/>
      <c r="K37" s="43"/>
      <c r="L37" s="101"/>
      <c r="M37" s="101"/>
      <c r="N37" s="101"/>
      <c r="O37" s="44"/>
      <c r="P37" s="44"/>
      <c r="Q37" s="44"/>
      <c r="R37" s="44"/>
      <c r="S37" s="44"/>
      <c r="T37" s="44"/>
      <c r="U37" s="44"/>
      <c r="V37" s="44"/>
      <c r="W37" s="101" t="str">
        <f t="shared" si="0"/>
        <v/>
      </c>
      <c r="X37" s="43">
        <f t="shared" si="1"/>
        <v>5</v>
      </c>
      <c r="Y37" s="85" t="e">
        <f>VLOOKUP(Z37,SegAWS[],HLOOKUP("AWS Name",SegAWS[],2,FALSE),FALSE)</f>
        <v>#N/A</v>
      </c>
      <c r="Z37" s="91" t="str">
        <f t="shared" si="14"/>
        <v>Data Error: Number of Lanes</v>
      </c>
      <c r="AA37" s="108" t="str">
        <f>IFERROR(VLOOKUP($Z37,SegAWS[],HLOOKUP("KABC Scaler",SegAWS[],2,FALSE),FALSE),"Data Error")</f>
        <v>Data Error</v>
      </c>
      <c r="AB37" s="44">
        <f t="shared" si="36"/>
        <v>0</v>
      </c>
      <c r="AC37" s="42" t="str">
        <f>IF($J37="","Data Error: Segment Length",
IF(VLOOKUP($Z37,SegAWS[],HLOOKUP("Equation Form",SegAWS[],2,FALSE),FALSE)="Form 1",(((VLOOKUP($Z37,SegAWS[],HLOOKUP("Form 1 Num",SegAWS[],2,FALSE),FALSE))/(1 + EXP(-((VLOOKUP($Z37,SegAWS[],HLOOKUP("Form 1 Exp Coeff",SegAWS[],2,FALSE),FALSE))*($K37-(VLOOKUP($Z37,SegAWS[],HLOOKUP("Form 1 AADT Coeff",SegAWS[],2,FALSE),FALSE)))))))+(VLOOKUP($Z37,SegAWS[],HLOOKUP("Form 1 End Factor",SegAWS[],2,FALSE),FALSE)))*$X37*$J37,
IF(VLOOKUP($Z37,SegAWS[],HLOOKUP("Equation Form",SegAWS[],2,FALSE),FALSE)="Form 2",(EXP((VLOOKUP($Z37,SegAWS[],HLOOKUP("Form 2 Exp Coeff",SegAWS[],2,FALSE),FALSE)))*($K37^(VLOOKUP($Z37,SegAWS[],HLOOKUP("Form 2 AADT Coeff",SegAWS[],2,FALSE),FALSE))))*$X37*$J37,"Data Error: SPF Lookup Name")))</f>
        <v>Data Error: Segment Length</v>
      </c>
      <c r="AD37" s="42" t="e">
        <f>((1/(1+VLOOKUP($Z37,SegAWS[],HLOOKUP("Dispersion Parameter",SegAWS[],2,FALSE),FALSE)*AC37))*AC37
+(1-1/(1+VLOOKUP($Z37,SegAWS[],HLOOKUP("Dispersion Parameter",SegAWS[],2,FALSE),FALSE)*AC37))*AB37)</f>
        <v>#N/A</v>
      </c>
      <c r="AE37" s="44">
        <f t="shared" si="37"/>
        <v>0</v>
      </c>
      <c r="AF37" s="42" t="e">
        <f t="shared" si="15"/>
        <v>#VALUE!</v>
      </c>
      <c r="AG37" s="41" t="e">
        <f>((1/(1+VLOOKUP($Z37,SegAWS[],HLOOKUP("Dispersion Parameter",SegAWS[],2,FALSE),FALSE)*AF37))*AF37
+(1-1/(1+VLOOKUP($Z37,SegAWS[],HLOOKUP("Dispersion Parameter",SegAWS[],2,FALSE),FALSE)*AF37))*AE37)</f>
        <v>#N/A</v>
      </c>
      <c r="AH37" s="101">
        <f t="shared" si="4"/>
        <v>0</v>
      </c>
      <c r="AI37" s="101" t="str">
        <f t="shared" si="38"/>
        <v>Missing Data</v>
      </c>
      <c r="AJ37" s="41" t="str">
        <f t="shared" si="39"/>
        <v>Missing Data</v>
      </c>
      <c r="AK37" s="101" t="str">
        <f t="shared" si="40"/>
        <v>Missing Data</v>
      </c>
      <c r="AL37" s="41" t="str">
        <f t="shared" si="41"/>
        <v>Missing Data</v>
      </c>
      <c r="AM37" s="44">
        <f t="shared" si="42"/>
        <v>0</v>
      </c>
      <c r="AN37" s="44">
        <f t="shared" si="43"/>
        <v>0</v>
      </c>
      <c r="AO37" s="60" t="str">
        <f t="shared" si="11"/>
        <v>Missing Data</v>
      </c>
      <c r="AP37" s="107"/>
      <c r="AQ37" s="107"/>
      <c r="AR37" s="41" t="e">
        <f>VLOOKUP($Z37,SegAWS[],HLOOKUP("Dispersion Parameter",SegAWS[],2,FALSE),FALSE)</f>
        <v>#N/A</v>
      </c>
      <c r="AS37" s="42" t="e">
        <f>VLOOKUP($Z37,SegAWS[],HLOOKUP("Dispersion Parameter",SegAWS[],2,FALSE),FALSE)</f>
        <v>#N/A</v>
      </c>
      <c r="AT37" s="41" t="e">
        <f t="shared" si="44"/>
        <v>#N/A</v>
      </c>
      <c r="AU37" s="41" t="e">
        <f t="shared" si="45"/>
        <v>#VALUE!</v>
      </c>
      <c r="AV37" s="41" t="e">
        <f t="shared" si="46"/>
        <v>#N/A</v>
      </c>
      <c r="AW37" s="41" t="e">
        <f t="shared" si="47"/>
        <v>#VALUE!</v>
      </c>
    </row>
    <row r="38" spans="1:49" x14ac:dyDescent="0.3">
      <c r="A38" s="110"/>
      <c r="B38" s="101"/>
      <c r="C38" s="101"/>
      <c r="D38" s="101"/>
      <c r="E38" s="101"/>
      <c r="F38" s="101"/>
      <c r="G38" s="101"/>
      <c r="H38" s="101"/>
      <c r="I38" s="43"/>
      <c r="J38" s="41"/>
      <c r="K38" s="43"/>
      <c r="L38" s="101"/>
      <c r="M38" s="101"/>
      <c r="N38" s="101"/>
      <c r="O38" s="44"/>
      <c r="P38" s="44"/>
      <c r="Q38" s="44"/>
      <c r="R38" s="44"/>
      <c r="S38" s="44"/>
      <c r="T38" s="44"/>
      <c r="U38" s="44"/>
      <c r="V38" s="44"/>
      <c r="W38" s="101" t="str">
        <f t="shared" si="0"/>
        <v/>
      </c>
      <c r="X38" s="43">
        <f t="shared" si="1"/>
        <v>5</v>
      </c>
      <c r="Y38" s="85" t="e">
        <f>VLOOKUP(Z38,SegAWS[],HLOOKUP("AWS Name",SegAWS[],2,FALSE),FALSE)</f>
        <v>#N/A</v>
      </c>
      <c r="Z38" s="91" t="str">
        <f t="shared" si="14"/>
        <v>Data Error: Number of Lanes</v>
      </c>
      <c r="AA38" s="108" t="str">
        <f>IFERROR(VLOOKUP($Z38,SegAWS[],HLOOKUP("KABC Scaler",SegAWS[],2,FALSE),FALSE),"Data Error")</f>
        <v>Data Error</v>
      </c>
      <c r="AB38" s="44">
        <f t="shared" si="36"/>
        <v>0</v>
      </c>
      <c r="AC38" s="42" t="str">
        <f>IF($J38="","Data Error: Segment Length",
IF(VLOOKUP($Z38,SegAWS[],HLOOKUP("Equation Form",SegAWS[],2,FALSE),FALSE)="Form 1",(((VLOOKUP($Z38,SegAWS[],HLOOKUP("Form 1 Num",SegAWS[],2,FALSE),FALSE))/(1 + EXP(-((VLOOKUP($Z38,SegAWS[],HLOOKUP("Form 1 Exp Coeff",SegAWS[],2,FALSE),FALSE))*($K38-(VLOOKUP($Z38,SegAWS[],HLOOKUP("Form 1 AADT Coeff",SegAWS[],2,FALSE),FALSE)))))))+(VLOOKUP($Z38,SegAWS[],HLOOKUP("Form 1 End Factor",SegAWS[],2,FALSE),FALSE)))*$X38*$J38,
IF(VLOOKUP($Z38,SegAWS[],HLOOKUP("Equation Form",SegAWS[],2,FALSE),FALSE)="Form 2",(EXP((VLOOKUP($Z38,SegAWS[],HLOOKUP("Form 2 Exp Coeff",SegAWS[],2,FALSE),FALSE)))*($K38^(VLOOKUP($Z38,SegAWS[],HLOOKUP("Form 2 AADT Coeff",SegAWS[],2,FALSE),FALSE))))*$X38*$J38,"Data Error: SPF Lookup Name")))</f>
        <v>Data Error: Segment Length</v>
      </c>
      <c r="AD38" s="42" t="e">
        <f>((1/(1+VLOOKUP($Z38,SegAWS[],HLOOKUP("Dispersion Parameter",SegAWS[],2,FALSE),FALSE)*AC38))*AC38
+(1-1/(1+VLOOKUP($Z38,SegAWS[],HLOOKUP("Dispersion Parameter",SegAWS[],2,FALSE),FALSE)*AC38))*AB38)</f>
        <v>#N/A</v>
      </c>
      <c r="AE38" s="44">
        <f t="shared" si="37"/>
        <v>0</v>
      </c>
      <c r="AF38" s="42" t="e">
        <f t="shared" si="15"/>
        <v>#VALUE!</v>
      </c>
      <c r="AG38" s="41" t="e">
        <f>((1/(1+VLOOKUP($Z38,SegAWS[],HLOOKUP("Dispersion Parameter",SegAWS[],2,FALSE),FALSE)*AF38))*AF38
+(1-1/(1+VLOOKUP($Z38,SegAWS[],HLOOKUP("Dispersion Parameter",SegAWS[],2,FALSE),FALSE)*AF38))*AE38)</f>
        <v>#N/A</v>
      </c>
      <c r="AH38" s="101">
        <f t="shared" si="4"/>
        <v>0</v>
      </c>
      <c r="AI38" s="101" t="str">
        <f t="shared" si="38"/>
        <v>Missing Data</v>
      </c>
      <c r="AJ38" s="41" t="str">
        <f t="shared" si="39"/>
        <v>Missing Data</v>
      </c>
      <c r="AK38" s="101" t="str">
        <f t="shared" si="40"/>
        <v>Missing Data</v>
      </c>
      <c r="AL38" s="41" t="str">
        <f t="shared" si="41"/>
        <v>Missing Data</v>
      </c>
      <c r="AM38" s="44">
        <f t="shared" si="42"/>
        <v>0</v>
      </c>
      <c r="AN38" s="44">
        <f t="shared" si="43"/>
        <v>0</v>
      </c>
      <c r="AO38" s="60" t="str">
        <f t="shared" si="11"/>
        <v>Missing Data</v>
      </c>
      <c r="AP38" s="107"/>
      <c r="AQ38" s="107"/>
      <c r="AR38" s="41" t="e">
        <f>VLOOKUP($Z38,SegAWS[],HLOOKUP("Dispersion Parameter",SegAWS[],2,FALSE),FALSE)</f>
        <v>#N/A</v>
      </c>
      <c r="AS38" s="42" t="e">
        <f>VLOOKUP($Z38,SegAWS[],HLOOKUP("Dispersion Parameter",SegAWS[],2,FALSE),FALSE)</f>
        <v>#N/A</v>
      </c>
      <c r="AT38" s="41" t="e">
        <f t="shared" si="44"/>
        <v>#N/A</v>
      </c>
      <c r="AU38" s="41" t="e">
        <f t="shared" si="45"/>
        <v>#VALUE!</v>
      </c>
      <c r="AV38" s="41" t="e">
        <f t="shared" si="46"/>
        <v>#N/A</v>
      </c>
      <c r="AW38" s="41" t="e">
        <f t="shared" si="47"/>
        <v>#VALUE!</v>
      </c>
    </row>
    <row r="39" spans="1:49" x14ac:dyDescent="0.3">
      <c r="A39" s="110"/>
      <c r="B39" s="101"/>
      <c r="C39" s="101"/>
      <c r="D39" s="101"/>
      <c r="E39" s="101"/>
      <c r="F39" s="101"/>
      <c r="G39" s="101"/>
      <c r="H39" s="101"/>
      <c r="I39" s="44"/>
      <c r="J39" s="41"/>
      <c r="K39" s="43"/>
      <c r="L39" s="101"/>
      <c r="M39" s="101"/>
      <c r="N39" s="101"/>
      <c r="O39" s="44"/>
      <c r="P39" s="44"/>
      <c r="Q39" s="44"/>
      <c r="R39" s="44"/>
      <c r="S39" s="44"/>
      <c r="T39" s="44"/>
      <c r="U39" s="44"/>
      <c r="V39" s="44"/>
      <c r="W39" s="101" t="str">
        <f t="shared" si="0"/>
        <v/>
      </c>
      <c r="X39" s="43">
        <f t="shared" si="1"/>
        <v>5</v>
      </c>
      <c r="Y39" s="85" t="e">
        <f>VLOOKUP(Z39,SegAWS[],HLOOKUP("AWS Name",SegAWS[],2,FALSE),FALSE)</f>
        <v>#N/A</v>
      </c>
      <c r="Z39" s="91" t="str">
        <f t="shared" si="14"/>
        <v>Data Error: Number of Lanes</v>
      </c>
      <c r="AA39" s="108" t="str">
        <f>IFERROR(VLOOKUP($Z39,SegAWS[],HLOOKUP("KABC Scaler",SegAWS[],2,FALSE),FALSE),"Data Error")</f>
        <v>Data Error</v>
      </c>
      <c r="AB39" s="44">
        <f t="shared" si="36"/>
        <v>0</v>
      </c>
      <c r="AC39" s="42" t="str">
        <f>IF($J39="","Data Error: Segment Length",
IF(VLOOKUP($Z39,SegAWS[],HLOOKUP("Equation Form",SegAWS[],2,FALSE),FALSE)="Form 1",(((VLOOKUP($Z39,SegAWS[],HLOOKUP("Form 1 Num",SegAWS[],2,FALSE),FALSE))/(1 + EXP(-((VLOOKUP($Z39,SegAWS[],HLOOKUP("Form 1 Exp Coeff",SegAWS[],2,FALSE),FALSE))*($K39-(VLOOKUP($Z39,SegAWS[],HLOOKUP("Form 1 AADT Coeff",SegAWS[],2,FALSE),FALSE)))))))+(VLOOKUP($Z39,SegAWS[],HLOOKUP("Form 1 End Factor",SegAWS[],2,FALSE),FALSE)))*$X39*$J39,
IF(VLOOKUP($Z39,SegAWS[],HLOOKUP("Equation Form",SegAWS[],2,FALSE),FALSE)="Form 2",(EXP((VLOOKUP($Z39,SegAWS[],HLOOKUP("Form 2 Exp Coeff",SegAWS[],2,FALSE),FALSE)))*($K39^(VLOOKUP($Z39,SegAWS[],HLOOKUP("Form 2 AADT Coeff",SegAWS[],2,FALSE),FALSE))))*$X39*$J39,"Data Error: SPF Lookup Name")))</f>
        <v>Data Error: Segment Length</v>
      </c>
      <c r="AD39" s="42" t="e">
        <f>((1/(1+VLOOKUP($Z39,SegAWS[],HLOOKUP("Dispersion Parameter",SegAWS[],2,FALSE),FALSE)*AC39))*AC39
+(1-1/(1+VLOOKUP($Z39,SegAWS[],HLOOKUP("Dispersion Parameter",SegAWS[],2,FALSE),FALSE)*AC39))*AB39)</f>
        <v>#N/A</v>
      </c>
      <c r="AE39" s="44">
        <f t="shared" si="37"/>
        <v>0</v>
      </c>
      <c r="AF39" s="42" t="e">
        <f t="shared" si="15"/>
        <v>#VALUE!</v>
      </c>
      <c r="AG39" s="41" t="e">
        <f>((1/(1+VLOOKUP($Z39,SegAWS[],HLOOKUP("Dispersion Parameter",SegAWS[],2,FALSE),FALSE)*AF39))*AF39
+(1-1/(1+VLOOKUP($Z39,SegAWS[],HLOOKUP("Dispersion Parameter",SegAWS[],2,FALSE),FALSE)*AF39))*AE39)</f>
        <v>#N/A</v>
      </c>
      <c r="AH39" s="101">
        <f t="shared" si="4"/>
        <v>0</v>
      </c>
      <c r="AI39" s="101" t="str">
        <f t="shared" si="38"/>
        <v>Missing Data</v>
      </c>
      <c r="AJ39" s="41" t="str">
        <f t="shared" si="39"/>
        <v>Missing Data</v>
      </c>
      <c r="AK39" s="101" t="str">
        <f t="shared" si="40"/>
        <v>Missing Data</v>
      </c>
      <c r="AL39" s="41" t="str">
        <f t="shared" si="41"/>
        <v>Missing Data</v>
      </c>
      <c r="AM39" s="44">
        <f t="shared" si="42"/>
        <v>0</v>
      </c>
      <c r="AN39" s="44">
        <f t="shared" si="43"/>
        <v>0</v>
      </c>
      <c r="AO39" s="60" t="str">
        <f t="shared" si="11"/>
        <v>Missing Data</v>
      </c>
      <c r="AP39" s="107"/>
      <c r="AQ39" s="107"/>
      <c r="AR39" s="41" t="e">
        <f>VLOOKUP($Z39,SegAWS[],HLOOKUP("Dispersion Parameter",SegAWS[],2,FALSE),FALSE)</f>
        <v>#N/A</v>
      </c>
      <c r="AS39" s="42" t="e">
        <f>VLOOKUP($Z39,SegAWS[],HLOOKUP("Dispersion Parameter",SegAWS[],2,FALSE),FALSE)</f>
        <v>#N/A</v>
      </c>
      <c r="AT39" s="41" t="e">
        <f t="shared" si="44"/>
        <v>#N/A</v>
      </c>
      <c r="AU39" s="41" t="e">
        <f t="shared" si="45"/>
        <v>#VALUE!</v>
      </c>
      <c r="AV39" s="41" t="e">
        <f t="shared" si="46"/>
        <v>#N/A</v>
      </c>
      <c r="AW39" s="41" t="e">
        <f t="shared" si="47"/>
        <v>#VALUE!</v>
      </c>
    </row>
    <row r="40" spans="1:49" x14ac:dyDescent="0.3">
      <c r="A40" s="110"/>
      <c r="B40" s="101"/>
      <c r="C40" s="101"/>
      <c r="D40" s="101"/>
      <c r="E40" s="101"/>
      <c r="F40" s="101"/>
      <c r="G40" s="101"/>
      <c r="H40" s="101"/>
      <c r="I40" s="44"/>
      <c r="J40" s="41"/>
      <c r="K40" s="43"/>
      <c r="L40" s="101"/>
      <c r="M40" s="101"/>
      <c r="N40" s="101"/>
      <c r="O40" s="44"/>
      <c r="P40" s="44"/>
      <c r="Q40" s="44"/>
      <c r="R40" s="44"/>
      <c r="S40" s="44"/>
      <c r="T40" s="44"/>
      <c r="U40" s="44"/>
      <c r="V40" s="44"/>
      <c r="W40" s="101" t="str">
        <f t="shared" si="0"/>
        <v/>
      </c>
      <c r="X40" s="43">
        <f t="shared" si="1"/>
        <v>5</v>
      </c>
      <c r="Y40" s="85" t="e">
        <f>VLOOKUP(Z40,SegAWS[],HLOOKUP("AWS Name",SegAWS[],2,FALSE),FALSE)</f>
        <v>#N/A</v>
      </c>
      <c r="Z40" s="91" t="str">
        <f t="shared" si="14"/>
        <v>Data Error: Number of Lanes</v>
      </c>
      <c r="AA40" s="108" t="str">
        <f>IFERROR(VLOOKUP($Z40,SegAWS[],HLOOKUP("KABC Scaler",SegAWS[],2,FALSE),FALSE),"Data Error")</f>
        <v>Data Error</v>
      </c>
      <c r="AB40" s="44">
        <f t="shared" si="36"/>
        <v>0</v>
      </c>
      <c r="AC40" s="42" t="str">
        <f>IF($J40="","Data Error: Segment Length",
IF(VLOOKUP($Z40,SegAWS[],HLOOKUP("Equation Form",SegAWS[],2,FALSE),FALSE)="Form 1",(((VLOOKUP($Z40,SegAWS[],HLOOKUP("Form 1 Num",SegAWS[],2,FALSE),FALSE))/(1 + EXP(-((VLOOKUP($Z40,SegAWS[],HLOOKUP("Form 1 Exp Coeff",SegAWS[],2,FALSE),FALSE))*($K40-(VLOOKUP($Z40,SegAWS[],HLOOKUP("Form 1 AADT Coeff",SegAWS[],2,FALSE),FALSE)))))))+(VLOOKUP($Z40,SegAWS[],HLOOKUP("Form 1 End Factor",SegAWS[],2,FALSE),FALSE)))*$X40*$J40,
IF(VLOOKUP($Z40,SegAWS[],HLOOKUP("Equation Form",SegAWS[],2,FALSE),FALSE)="Form 2",(EXP((VLOOKUP($Z40,SegAWS[],HLOOKUP("Form 2 Exp Coeff",SegAWS[],2,FALSE),FALSE)))*($K40^(VLOOKUP($Z40,SegAWS[],HLOOKUP("Form 2 AADT Coeff",SegAWS[],2,FALSE),FALSE))))*$X40*$J40,"Data Error: SPF Lookup Name")))</f>
        <v>Data Error: Segment Length</v>
      </c>
      <c r="AD40" s="42" t="e">
        <f>((1/(1+VLOOKUP($Z40,SegAWS[],HLOOKUP("Dispersion Parameter",SegAWS[],2,FALSE),FALSE)*AC40))*AC40
+(1-1/(1+VLOOKUP($Z40,SegAWS[],HLOOKUP("Dispersion Parameter",SegAWS[],2,FALSE),FALSE)*AC40))*AB40)</f>
        <v>#N/A</v>
      </c>
      <c r="AE40" s="44">
        <f t="shared" si="37"/>
        <v>0</v>
      </c>
      <c r="AF40" s="42" t="e">
        <f t="shared" si="15"/>
        <v>#VALUE!</v>
      </c>
      <c r="AG40" s="41" t="e">
        <f>((1/(1+VLOOKUP($Z40,SegAWS[],HLOOKUP("Dispersion Parameter",SegAWS[],2,FALSE),FALSE)*AF40))*AF40
+(1-1/(1+VLOOKUP($Z40,SegAWS[],HLOOKUP("Dispersion Parameter",SegAWS[],2,FALSE),FALSE)*AF40))*AE40)</f>
        <v>#N/A</v>
      </c>
      <c r="AH40" s="101">
        <f t="shared" si="4"/>
        <v>0</v>
      </c>
      <c r="AI40" s="101" t="str">
        <f t="shared" si="38"/>
        <v>Missing Data</v>
      </c>
      <c r="AJ40" s="41" t="str">
        <f t="shared" si="39"/>
        <v>Missing Data</v>
      </c>
      <c r="AK40" s="101" t="str">
        <f t="shared" si="40"/>
        <v>Missing Data</v>
      </c>
      <c r="AL40" s="41" t="str">
        <f t="shared" si="41"/>
        <v>Missing Data</v>
      </c>
      <c r="AM40" s="44">
        <f t="shared" si="42"/>
        <v>0</v>
      </c>
      <c r="AN40" s="44">
        <f t="shared" si="43"/>
        <v>0</v>
      </c>
      <c r="AO40" s="60" t="str">
        <f t="shared" si="11"/>
        <v>Missing Data</v>
      </c>
      <c r="AP40" s="107"/>
      <c r="AQ40" s="107"/>
      <c r="AR40" s="41" t="e">
        <f>VLOOKUP($Z40,SegAWS[],HLOOKUP("Dispersion Parameter",SegAWS[],2,FALSE),FALSE)</f>
        <v>#N/A</v>
      </c>
      <c r="AS40" s="42" t="e">
        <f>VLOOKUP($Z40,SegAWS[],HLOOKUP("Dispersion Parameter",SegAWS[],2,FALSE),FALSE)</f>
        <v>#N/A</v>
      </c>
      <c r="AT40" s="41" t="e">
        <f t="shared" si="44"/>
        <v>#N/A</v>
      </c>
      <c r="AU40" s="41" t="e">
        <f t="shared" si="45"/>
        <v>#VALUE!</v>
      </c>
      <c r="AV40" s="41" t="e">
        <f t="shared" si="46"/>
        <v>#N/A</v>
      </c>
      <c r="AW40" s="41" t="e">
        <f t="shared" si="47"/>
        <v>#VALUE!</v>
      </c>
    </row>
    <row r="41" spans="1:49" x14ac:dyDescent="0.3">
      <c r="A41" s="110"/>
      <c r="B41" s="101"/>
      <c r="C41" s="101"/>
      <c r="D41" s="101"/>
      <c r="E41" s="101"/>
      <c r="F41" s="101"/>
      <c r="G41" s="101"/>
      <c r="H41" s="101"/>
      <c r="I41" s="44"/>
      <c r="J41" s="41"/>
      <c r="K41" s="44"/>
      <c r="L41" s="101"/>
      <c r="M41" s="101"/>
      <c r="N41" s="101"/>
      <c r="O41" s="44"/>
      <c r="P41" s="44"/>
      <c r="Q41" s="44"/>
      <c r="R41" s="44"/>
      <c r="S41" s="44"/>
      <c r="T41" s="44"/>
      <c r="U41" s="44"/>
      <c r="V41" s="44"/>
      <c r="W41" s="101" t="str">
        <f t="shared" si="0"/>
        <v/>
      </c>
      <c r="X41" s="43">
        <f t="shared" si="1"/>
        <v>5</v>
      </c>
      <c r="Y41" s="85" t="e">
        <f>VLOOKUP(Z41,SegAWS[],HLOOKUP("AWS Name",SegAWS[],2,FALSE),FALSE)</f>
        <v>#N/A</v>
      </c>
      <c r="Z41" s="91" t="str">
        <f t="shared" si="14"/>
        <v>Data Error: Number of Lanes</v>
      </c>
      <c r="AA41" s="108" t="str">
        <f>IFERROR(VLOOKUP($Z41,SegAWS[],HLOOKUP("KABC Scaler",SegAWS[],2,FALSE),FALSE),"Data Error")</f>
        <v>Data Error</v>
      </c>
      <c r="AB41" s="44">
        <f t="shared" si="36"/>
        <v>0</v>
      </c>
      <c r="AC41" s="42" t="str">
        <f>IF($J41="","Data Error: Segment Length",
IF(VLOOKUP($Z41,SegAWS[],HLOOKUP("Equation Form",SegAWS[],2,FALSE),FALSE)="Form 1",(((VLOOKUP($Z41,SegAWS[],HLOOKUP("Form 1 Num",SegAWS[],2,FALSE),FALSE))/(1 + EXP(-((VLOOKUP($Z41,SegAWS[],HLOOKUP("Form 1 Exp Coeff",SegAWS[],2,FALSE),FALSE))*($K41-(VLOOKUP($Z41,SegAWS[],HLOOKUP("Form 1 AADT Coeff",SegAWS[],2,FALSE),FALSE)))))))+(VLOOKUP($Z41,SegAWS[],HLOOKUP("Form 1 End Factor",SegAWS[],2,FALSE),FALSE)))*$X41*$J41,
IF(VLOOKUP($Z41,SegAWS[],HLOOKUP("Equation Form",SegAWS[],2,FALSE),FALSE)="Form 2",(EXP((VLOOKUP($Z41,SegAWS[],HLOOKUP("Form 2 Exp Coeff",SegAWS[],2,FALSE),FALSE)))*($K41^(VLOOKUP($Z41,SegAWS[],HLOOKUP("Form 2 AADT Coeff",SegAWS[],2,FALSE),FALSE))))*$X41*$J41,"Data Error: SPF Lookup Name")))</f>
        <v>Data Error: Segment Length</v>
      </c>
      <c r="AD41" s="42" t="e">
        <f>((1/(1+VLOOKUP($Z41,SegAWS[],HLOOKUP("Dispersion Parameter",SegAWS[],2,FALSE),FALSE)*AC41))*AC41
+(1-1/(1+VLOOKUP($Z41,SegAWS[],HLOOKUP("Dispersion Parameter",SegAWS[],2,FALSE),FALSE)*AC41))*AB41)</f>
        <v>#N/A</v>
      </c>
      <c r="AE41" s="44">
        <f t="shared" si="37"/>
        <v>0</v>
      </c>
      <c r="AF41" s="42" t="e">
        <f t="shared" si="15"/>
        <v>#VALUE!</v>
      </c>
      <c r="AG41" s="41" t="e">
        <f>((1/(1+VLOOKUP($Z41,SegAWS[],HLOOKUP("Dispersion Parameter",SegAWS[],2,FALSE),FALSE)*AF41))*AF41
+(1-1/(1+VLOOKUP($Z41,SegAWS[],HLOOKUP("Dispersion Parameter",SegAWS[],2,FALSE),FALSE)*AF41))*AE41)</f>
        <v>#N/A</v>
      </c>
      <c r="AH41" s="101">
        <f t="shared" si="4"/>
        <v>0</v>
      </c>
      <c r="AI41" s="101" t="str">
        <f t="shared" si="38"/>
        <v>Missing Data</v>
      </c>
      <c r="AJ41" s="41" t="str">
        <f t="shared" si="39"/>
        <v>Missing Data</v>
      </c>
      <c r="AK41" s="101" t="str">
        <f t="shared" si="40"/>
        <v>Missing Data</v>
      </c>
      <c r="AL41" s="41" t="str">
        <f t="shared" si="41"/>
        <v>Missing Data</v>
      </c>
      <c r="AM41" s="44">
        <f t="shared" si="42"/>
        <v>0</v>
      </c>
      <c r="AN41" s="44">
        <f t="shared" si="43"/>
        <v>0</v>
      </c>
      <c r="AO41" s="60" t="str">
        <f t="shared" si="11"/>
        <v>Missing Data</v>
      </c>
      <c r="AP41" s="107"/>
      <c r="AQ41" s="107"/>
      <c r="AR41" s="41" t="e">
        <f>VLOOKUP($Z41,SegAWS[],HLOOKUP("Dispersion Parameter",SegAWS[],2,FALSE),FALSE)</f>
        <v>#N/A</v>
      </c>
      <c r="AS41" s="42" t="e">
        <f>VLOOKUP($Z41,SegAWS[],HLOOKUP("Dispersion Parameter",SegAWS[],2,FALSE),FALSE)</f>
        <v>#N/A</v>
      </c>
      <c r="AT41" s="41" t="e">
        <f t="shared" si="44"/>
        <v>#N/A</v>
      </c>
      <c r="AU41" s="41" t="e">
        <f t="shared" si="45"/>
        <v>#VALUE!</v>
      </c>
      <c r="AV41" s="41" t="e">
        <f t="shared" si="46"/>
        <v>#N/A</v>
      </c>
      <c r="AW41" s="41" t="e">
        <f t="shared" si="47"/>
        <v>#VALUE!</v>
      </c>
    </row>
    <row r="42" spans="1:49" x14ac:dyDescent="0.3">
      <c r="A42" s="110"/>
      <c r="B42" s="101"/>
      <c r="C42" s="101"/>
      <c r="D42" s="101"/>
      <c r="E42" s="101"/>
      <c r="F42" s="101"/>
      <c r="G42" s="101"/>
      <c r="H42" s="101"/>
      <c r="I42" s="44"/>
      <c r="J42" s="41"/>
      <c r="K42" s="43"/>
      <c r="L42" s="101"/>
      <c r="M42" s="101"/>
      <c r="N42" s="101"/>
      <c r="O42" s="44"/>
      <c r="P42" s="44"/>
      <c r="Q42" s="44"/>
      <c r="R42" s="44"/>
      <c r="S42" s="44"/>
      <c r="T42" s="44"/>
      <c r="U42" s="44"/>
      <c r="V42" s="44"/>
      <c r="W42" s="101" t="str">
        <f t="shared" ref="W42:W73" si="48">SUBSTITUTE(SUBSTITUTE(SUBSTITUTE(N42,CHAR(34),""),"[", ""),"]", "")</f>
        <v/>
      </c>
      <c r="X42" s="43">
        <f t="shared" ref="X42:X73" si="49">$X$4</f>
        <v>5</v>
      </c>
      <c r="Y42" s="85" t="e">
        <f>VLOOKUP(Z42,SegAWS[],HLOOKUP("AWS Name",SegAWS[],2,FALSE),FALSE)</f>
        <v>#N/A</v>
      </c>
      <c r="Z42" s="91" t="str">
        <f t="shared" ref="Z42:Z73" si="50">IF(OR($I42=0,$I42=""),"Data Error: Number of Lanes",
IF($D42="Local Road",
IF($E42="Rural",IF($F42="Non-Freeway",
IF($G42="Divided",IF(_xlfn.NUMBERVALUE($I42)&lt;3,IF(_xlfn.NUMBERVALUE($K42)&lt;1,"L_R_DataError",IF(_xlfn.NUMBERVALUE($K42)&lt;251,"L_R_Non_Divided_2Lane_0-250",IF(_xlfn.NUMBERVALUE($K42)&lt;401,"L_R_Non_Divided_2Lane_251-400",IF(_xlfn.NUMBERVALUE($K42)&lt;751,"L_R_Non_Divided_2Lane_401-750",IF(_xlfn.NUMBERVALUE($K42)&lt;1501,"L_R_Non_Divided_2Lane_751-1500",IF(_xlfn.NUMBERVALUE($K42)&lt;3501,"L_R_Non_Divided_2Lane_1501-3500","L_R_Non_Divided_2Lane_3501+")))))),"L_R_Non_Divided_3+Lane_0+"),
IF($G42="Undivided",IF(_xlfn.NUMBERVALUE($I42)&lt;3,IF(_xlfn.NUMBERVALUE($K42)&lt;1,"L_R_DataError",IF(_xlfn.NUMBERVALUE($K42)&lt;251,"L_R_Non_Undivided_2Lane_0-250",IF(_xlfn.NUMBERVALUE($K42)&lt;401,"L_R_Non_Undivided_2Lane_251-400",IF(_xlfn.NUMBERVALUE($K42)&lt;751,"L_R_Non_Undivided_2Lane_401-750",IF(_xlfn.NUMBERVALUE($K42)&lt;1501,"L_R_Non_Undivided_2Lane_751-1500",IF(_xlfn.NUMBERVALUE($K42)&lt;3501,"L_R_Non_Undivided_2Lane_1501-3500","L_R_Non_Undivided_2Lane_3501+")))))),"L_R_Non_Undivided_3+Lane_0+"),"Data Error: Divided/Undivided")),"Data Error: Freeway/Non-Freeway"),
IF($E42="Urban",IF($F42="Non-Freeway",
IF($G42="Divided",IF(_xlfn.NUMBERVALUE($I42)&lt;3,IF(_xlfn.NUMBERVALUE($K42)&lt;1,"L_U_DataError",IF(_xlfn.NUMBERVALUE($K42)&lt;251,"L_U_Non_Divided_2Lane_0-250",IF(_xlfn.NUMBERVALUE($K42)&lt;401,"L_U_Non_Divided_2Lane_251-400",IF(_xlfn.NUMBERVALUE($K42)&lt;751,"L_U_Non_Divided_2Lane_401-750",IF(_xlfn.NUMBERVALUE($K42)&lt;1501,"L_U_Non_Divided_2Lane_751-1500",IF(_xlfn.NUMBERVALUE($K42)&lt;3501,"L_U_Non_Divided_2Lane_1501-3500",IF(_xlfn.NUMBERVALUE($K42)&lt;7001,"L_U_Non_Divided_2Lane_3501-7000","L_U_Non_Divided_2Lane_7001+"))))))),"L_U_Non_Divided_3+Lane_0+"),
IF($G42="Undivided",IF(_xlfn.NUMBERVALUE($I42)&lt;3,IF(_xlfn.NUMBERVALUE($K42)&lt;1,"L_U_DataError",IF(_xlfn.NUMBERVALUE($K42)&lt;251,"L_U_Non_Undivided_2Lane_0-250",IF(_xlfn.NUMBERVALUE($K42)&lt;401,"L_U_Non_Undivided_2Lane_251-400",IF(_xlfn.NUMBERVALUE($K42)&lt;751,"L_U_Non_Undivided_2Lane_401-750",IF(_xlfn.NUMBERVALUE($K42)&lt;1501,"L_U_Non_Undivided_2Lane_751-1500",IF(_xlfn.NUMBERVALUE($K42)&lt;3501,"L_U_Non_Undivided_2Lane_1501-3500",IF(_xlfn.NUMBERVALUE($K42)&lt;7001,"L_U_Non_Undivided_2Lane_3501-7000","L_U_Non_Undivided_2Lane_7001+"))))))),"L_U_Non_Undivided_3+Lane_0+"),"Data Error: Divided/Undivided")),"Data Error: Freeway/Non-Freeway"),"Data Error: Area Type")),
IF($D42="State Highway",
IF($E42="Rural",
IF($F42="Non-Freeway",IF(_xlfn.NUMBERVALUE($K42)&lt;1,"S_R_Non_DataError",IF($H42="TWLTL","S_R_Non_TWLTL_1+Lanes_0+",
IF($G42="Divided",IF(_xlfn.NUMBERVALUE($I42)&lt;3,"S_R_Non_Divided_2Lane_0+",IF(_xlfn.NUMBERVALUE($I42)&lt;5,IF(_xlfn.NUMBERVALUE($K42)&lt;10001,"S_R_Non_Divided_4Lane_0-10000",IF(_xlfn.NUMBERVALUE($K42)&lt;17501,"S_R_Non_Divided_4Lane_10001-17500","S_R_Non_Divided_4Lane_17501+")),"S_R_Non_Divided_5+Lane_0+")),
IF($G42="Undivided",IF(_xlfn.NUMBERVALUE($I42)&lt;3,IF(_xlfn.NUMBERVALUE($K42)&lt;1501,"S_R_Non_Undivided_2Lane_0-1500",IF(_xlfn.NUMBERVALUE($K42)&lt;3501,"S_R_Non_Undivided_2Lane_1501-3500",IF(_xlfn.NUMBERVALUE($K42)&lt;7001,"S_R_Non_Undivided_2Lane_3501-7000","S_R_Non_Undivided_2Lane_7001+"))),"S_R_Non_Undivided_3+Lanes_0+"),"Data Error: Divided/Undivided")))),
IF($F42="Freeway",IF(_xlfn.NUMBERVALUE($K42)&lt;1,"S_R_Free_DataError",
IF($G42="Undivided","S_R_Free_Undivided_1+Lane_0+",
IF($G42="Divided",IF(_xlfn.NUMBERVALUE($I42)&lt;3,"S_R_Free_Divided_2Lane_501+",IF(_xlfn.NUMBERVALUE($I42)&lt;5,IF(_xlfn.NUMBERVALUE($K42)&lt;15001,"S_R_Free_Divided_4Lane_501-15000",IF(_xlfn.NUMBERVALUE($K42)&lt;30001,"S_R_Free_Divided_4Lane_15001-30000","S_R_Free_Divided_4Lane_30001+")),"S_R_Free_Divided_5+Lane_0+")),"Data Error: Divided/Undivided"))),"Data Error: Freeway/Non-Freeway")),
IF($E42="Urban",
IF($F42="Non-Freeway",IF(_xlfn.NUMBERVALUE($K42)&lt;1,"S_U_Non_DataError",IF($H42="TWLTL","S_U_Non_TWLTL_1+Lanes_0+",
IF($G42="Divided",IF(_xlfn.NUMBERVALUE($I42)&lt;3,"S_U_Non_Divided_2Lane_0+",IF(_xlfn.NUMBERVALUE($I42)&lt;5,IF(_xlfn.NUMBERVALUE($K42)&lt;8001,"S_U_Non_Divided_4Lane_0-8000",IF(_xlfn.NUMBERVALUE($K42)&lt;17501,"S_U_Non_Divided_4Lane_8001-17500",IF(_xlfn.NUMBERVALUE($K42)&lt;24001,"S_U_Non_Divided_4Lane_17501-24000","S_U_Non_Divided_4Lane_24001+"))),"S_U_Non_Divided_5+Lane_0+")),
IF($G42="Undivided",IF(_xlfn.NUMBERVALUE($I42)&lt;3,IF(_xlfn.NUMBERVALUE($K42)&lt;4501,"S_U_Non_Undivided_2Lane_0-4500",IF(_xlfn.NUMBERVALUE($K42)&lt;7001,"S_U_Non_Undivided_2Lane_4501-7000","S_U_Non_Undivided_2Lane_7001+")),"S_U_Non_Undivided_4Lane_0+"),"Data Error: Divided/Undivided")))),
IF($F42="Freeway",IF(_xlfn.NUMBERVALUE($K42)&lt;1,"S_U_Free_DataError",
IF($G42="Undivided","S_U_Free_Undivided_1+Lane_0+",
IF($G42="Divided",IF(_xlfn.NUMBERVALUE($I42)&lt;3,"S_U_Free_Divided_2Lane_501+",IF(_xlfn.NUMBERVALUE($I42)&lt;5,IF(_xlfn.NUMBERVALUE($K42)&lt;20001,"S_U_Free_Divided_4Lane_501-20000",IF(_xlfn.NUMBERVALUE($K42)&lt;35001,"S_U_Free_Divided_4Lane_20001-35000","S_U_Free_Divided_4Lane_35001+")),IF(_xlfn.NUMBERVALUE($I42)&lt;7,"S_U_Free_Divided_6Lane_0+","S_U_Free_Divided_7+Lane_0+"))),"Data Error: Divided/Undivided"))),"Data Error: Freeway/Non-Freeway")),"Data Error: Area Type")),"Data Error: Roadway System")))</f>
        <v>Data Error: Number of Lanes</v>
      </c>
      <c r="AA42" s="108" t="str">
        <f>IFERROR(VLOOKUP($Z42,SegAWS[],HLOOKUP("KABC Scaler",SegAWS[],2,FALSE),FALSE),"Data Error")</f>
        <v>Data Error</v>
      </c>
      <c r="AB42" s="44">
        <f t="shared" si="36"/>
        <v>0</v>
      </c>
      <c r="AC42" s="42" t="str">
        <f>IF($J42="","Data Error: Segment Length",
IF(VLOOKUP($Z42,SegAWS[],HLOOKUP("Equation Form",SegAWS[],2,FALSE),FALSE)="Form 1",(((VLOOKUP($Z42,SegAWS[],HLOOKUP("Form 1 Num",SegAWS[],2,FALSE),FALSE))/(1 + EXP(-((VLOOKUP($Z42,SegAWS[],HLOOKUP("Form 1 Exp Coeff",SegAWS[],2,FALSE),FALSE))*($K42-(VLOOKUP($Z42,SegAWS[],HLOOKUP("Form 1 AADT Coeff",SegAWS[],2,FALSE),FALSE)))))))+(VLOOKUP($Z42,SegAWS[],HLOOKUP("Form 1 End Factor",SegAWS[],2,FALSE),FALSE)))*$X42*$J42,
IF(VLOOKUP($Z42,SegAWS[],HLOOKUP("Equation Form",SegAWS[],2,FALSE),FALSE)="Form 2",(EXP((VLOOKUP($Z42,SegAWS[],HLOOKUP("Form 2 Exp Coeff",SegAWS[],2,FALSE),FALSE)))*($K42^(VLOOKUP($Z42,SegAWS[],HLOOKUP("Form 2 AADT Coeff",SegAWS[],2,FALSE),FALSE))))*$X42*$J42,"Data Error: SPF Lookup Name")))</f>
        <v>Data Error: Segment Length</v>
      </c>
      <c r="AD42" s="42" t="e">
        <f>((1/(1+VLOOKUP($Z42,SegAWS[],HLOOKUP("Dispersion Parameter",SegAWS[],2,FALSE),FALSE)*AC42))*AC42
+(1-1/(1+VLOOKUP($Z42,SegAWS[],HLOOKUP("Dispersion Parameter",SegAWS[],2,FALSE),FALSE)*AC42))*AB42)</f>
        <v>#N/A</v>
      </c>
      <c r="AE42" s="44">
        <f t="shared" si="37"/>
        <v>0</v>
      </c>
      <c r="AF42" s="42" t="e">
        <f t="shared" si="15"/>
        <v>#VALUE!</v>
      </c>
      <c r="AG42" s="41" t="e">
        <f>((1/(1+VLOOKUP($Z42,SegAWS[],HLOOKUP("Dispersion Parameter",SegAWS[],2,FALSE),FALSE)*AF42))*AF42
+(1-1/(1+VLOOKUP($Z42,SegAWS[],HLOOKUP("Dispersion Parameter",SegAWS[],2,FALSE),FALSE)*AF42))*AE42)</f>
        <v>#N/A</v>
      </c>
      <c r="AH42" s="101">
        <f t="shared" ref="AH42:AH73" si="51">A42</f>
        <v>0</v>
      </c>
      <c r="AI42" s="101" t="str">
        <f t="shared" si="38"/>
        <v>Missing Data</v>
      </c>
      <c r="AJ42" s="41" t="str">
        <f t="shared" si="39"/>
        <v>Missing Data</v>
      </c>
      <c r="AK42" s="101" t="str">
        <f t="shared" si="40"/>
        <v>Missing Data</v>
      </c>
      <c r="AL42" s="41" t="str">
        <f t="shared" si="41"/>
        <v>Missing Data</v>
      </c>
      <c r="AM42" s="44">
        <f t="shared" si="42"/>
        <v>0</v>
      </c>
      <c r="AN42" s="44">
        <f t="shared" si="43"/>
        <v>0</v>
      </c>
      <c r="AO42" s="60" t="str">
        <f t="shared" si="11"/>
        <v>Missing Data</v>
      </c>
      <c r="AP42" s="107"/>
      <c r="AQ42" s="107"/>
      <c r="AR42" s="41" t="e">
        <f>VLOOKUP($Z42,SegAWS[],HLOOKUP("Dispersion Parameter",SegAWS[],2,FALSE),FALSE)</f>
        <v>#N/A</v>
      </c>
      <c r="AS42" s="42" t="e">
        <f>VLOOKUP($Z42,SegAWS[],HLOOKUP("Dispersion Parameter",SegAWS[],2,FALSE),FALSE)</f>
        <v>#N/A</v>
      </c>
      <c r="AT42" s="41" t="e">
        <f t="shared" si="44"/>
        <v>#N/A</v>
      </c>
      <c r="AU42" s="41" t="e">
        <f t="shared" si="45"/>
        <v>#VALUE!</v>
      </c>
      <c r="AV42" s="41" t="e">
        <f t="shared" si="46"/>
        <v>#N/A</v>
      </c>
      <c r="AW42" s="41" t="e">
        <f t="shared" si="47"/>
        <v>#VALUE!</v>
      </c>
    </row>
    <row r="43" spans="1:49" x14ac:dyDescent="0.3">
      <c r="A43" s="110"/>
      <c r="B43" s="101"/>
      <c r="C43" s="101"/>
      <c r="D43" s="101"/>
      <c r="E43" s="101"/>
      <c r="F43" s="101"/>
      <c r="G43" s="101"/>
      <c r="H43" s="101"/>
      <c r="I43" s="44"/>
      <c r="J43" s="41"/>
      <c r="K43" s="43"/>
      <c r="L43" s="101"/>
      <c r="M43" s="101"/>
      <c r="N43" s="101"/>
      <c r="O43" s="44"/>
      <c r="P43" s="44"/>
      <c r="Q43" s="44"/>
      <c r="R43" s="44"/>
      <c r="S43" s="44"/>
      <c r="T43" s="44"/>
      <c r="U43" s="44"/>
      <c r="V43" s="44"/>
      <c r="W43" s="101" t="str">
        <f t="shared" si="48"/>
        <v/>
      </c>
      <c r="X43" s="43">
        <f t="shared" si="49"/>
        <v>5</v>
      </c>
      <c r="Y43" s="85" t="e">
        <f>VLOOKUP(Z43,SegAWS[],HLOOKUP("AWS Name",SegAWS[],2,FALSE),FALSE)</f>
        <v>#N/A</v>
      </c>
      <c r="Z43" s="91" t="str">
        <f t="shared" si="50"/>
        <v>Data Error: Number of Lanes</v>
      </c>
      <c r="AA43" s="108" t="str">
        <f>IFERROR(VLOOKUP($Z43,SegAWS[],HLOOKUP("KABC Scaler",SegAWS[],2,FALSE),FALSE),"Data Error")</f>
        <v>Data Error</v>
      </c>
      <c r="AB43" s="44">
        <f t="shared" si="36"/>
        <v>0</v>
      </c>
      <c r="AC43" s="42" t="str">
        <f>IF($J43="","Data Error: Segment Length",
IF(VLOOKUP($Z43,SegAWS[],HLOOKUP("Equation Form",SegAWS[],2,FALSE),FALSE)="Form 1",(((VLOOKUP($Z43,SegAWS[],HLOOKUP("Form 1 Num",SegAWS[],2,FALSE),FALSE))/(1 + EXP(-((VLOOKUP($Z43,SegAWS[],HLOOKUP("Form 1 Exp Coeff",SegAWS[],2,FALSE),FALSE))*($K43-(VLOOKUP($Z43,SegAWS[],HLOOKUP("Form 1 AADT Coeff",SegAWS[],2,FALSE),FALSE)))))))+(VLOOKUP($Z43,SegAWS[],HLOOKUP("Form 1 End Factor",SegAWS[],2,FALSE),FALSE)))*$X43*$J43,
IF(VLOOKUP($Z43,SegAWS[],HLOOKUP("Equation Form",SegAWS[],2,FALSE),FALSE)="Form 2",(EXP((VLOOKUP($Z43,SegAWS[],HLOOKUP("Form 2 Exp Coeff",SegAWS[],2,FALSE),FALSE)))*($K43^(VLOOKUP($Z43,SegAWS[],HLOOKUP("Form 2 AADT Coeff",SegAWS[],2,FALSE),FALSE))))*$X43*$J43,"Data Error: SPF Lookup Name")))</f>
        <v>Data Error: Segment Length</v>
      </c>
      <c r="AD43" s="42" t="e">
        <f>((1/(1+VLOOKUP($Z43,SegAWS[],HLOOKUP("Dispersion Parameter",SegAWS[],2,FALSE),FALSE)*AC43))*AC43
+(1-1/(1+VLOOKUP($Z43,SegAWS[],HLOOKUP("Dispersion Parameter",SegAWS[],2,FALSE),FALSE)*AC43))*AB43)</f>
        <v>#N/A</v>
      </c>
      <c r="AE43" s="44">
        <f t="shared" si="37"/>
        <v>0</v>
      </c>
      <c r="AF43" s="42" t="e">
        <f t="shared" si="15"/>
        <v>#VALUE!</v>
      </c>
      <c r="AG43" s="41" t="e">
        <f>((1/(1+VLOOKUP($Z43,SegAWS[],HLOOKUP("Dispersion Parameter",SegAWS[],2,FALSE),FALSE)*AF43))*AF43
+(1-1/(1+VLOOKUP($Z43,SegAWS[],HLOOKUP("Dispersion Parameter",SegAWS[],2,FALSE),FALSE)*AF43))*AE43)</f>
        <v>#N/A</v>
      </c>
      <c r="AH43" s="101">
        <f t="shared" si="51"/>
        <v>0</v>
      </c>
      <c r="AI43" s="101" t="str">
        <f t="shared" si="38"/>
        <v>Missing Data</v>
      </c>
      <c r="AJ43" s="41" t="str">
        <f t="shared" si="39"/>
        <v>Missing Data</v>
      </c>
      <c r="AK43" s="101" t="str">
        <f t="shared" si="40"/>
        <v>Missing Data</v>
      </c>
      <c r="AL43" s="41" t="str">
        <f t="shared" si="41"/>
        <v>Missing Data</v>
      </c>
      <c r="AM43" s="44">
        <f t="shared" si="42"/>
        <v>0</v>
      </c>
      <c r="AN43" s="44">
        <f t="shared" si="43"/>
        <v>0</v>
      </c>
      <c r="AO43" s="60" t="str">
        <f t="shared" si="11"/>
        <v>Missing Data</v>
      </c>
      <c r="AP43" s="107"/>
      <c r="AQ43" s="107"/>
      <c r="AR43" s="41" t="e">
        <f>VLOOKUP($Z43,SegAWS[],HLOOKUP("Dispersion Parameter",SegAWS[],2,FALSE),FALSE)</f>
        <v>#N/A</v>
      </c>
      <c r="AS43" s="42" t="e">
        <f>VLOOKUP($Z43,SegAWS[],HLOOKUP("Dispersion Parameter",SegAWS[],2,FALSE),FALSE)</f>
        <v>#N/A</v>
      </c>
      <c r="AT43" s="41" t="e">
        <f t="shared" si="44"/>
        <v>#N/A</v>
      </c>
      <c r="AU43" s="41" t="e">
        <f t="shared" si="45"/>
        <v>#VALUE!</v>
      </c>
      <c r="AV43" s="41" t="e">
        <f t="shared" si="46"/>
        <v>#N/A</v>
      </c>
      <c r="AW43" s="41" t="e">
        <f t="shared" si="47"/>
        <v>#VALUE!</v>
      </c>
    </row>
    <row r="44" spans="1:49" x14ac:dyDescent="0.3">
      <c r="A44" s="110"/>
      <c r="B44" s="101"/>
      <c r="C44" s="101"/>
      <c r="D44" s="101"/>
      <c r="E44" s="101"/>
      <c r="F44" s="101"/>
      <c r="G44" s="101"/>
      <c r="H44" s="101"/>
      <c r="I44" s="44"/>
      <c r="J44" s="41"/>
      <c r="K44" s="43"/>
      <c r="L44" s="101"/>
      <c r="M44" s="101"/>
      <c r="N44" s="101"/>
      <c r="O44" s="44"/>
      <c r="P44" s="44"/>
      <c r="Q44" s="44"/>
      <c r="R44" s="44"/>
      <c r="S44" s="44"/>
      <c r="T44" s="44"/>
      <c r="U44" s="44"/>
      <c r="V44" s="44"/>
      <c r="W44" s="101" t="str">
        <f t="shared" si="48"/>
        <v/>
      </c>
      <c r="X44" s="43">
        <f t="shared" si="49"/>
        <v>5</v>
      </c>
      <c r="Y44" s="85" t="e">
        <f>VLOOKUP(Z44,SegAWS[],HLOOKUP("AWS Name",SegAWS[],2,FALSE),FALSE)</f>
        <v>#N/A</v>
      </c>
      <c r="Z44" s="91" t="str">
        <f t="shared" si="50"/>
        <v>Data Error: Number of Lanes</v>
      </c>
      <c r="AA44" s="108" t="str">
        <f>IFERROR(VLOOKUP($Z44,SegAWS[],HLOOKUP("KABC Scaler",SegAWS[],2,FALSE),FALSE),"Data Error")</f>
        <v>Data Error</v>
      </c>
      <c r="AB44" s="44">
        <f t="shared" si="36"/>
        <v>0</v>
      </c>
      <c r="AC44" s="42" t="str">
        <f>IF($J44="","Data Error: Segment Length",
IF(VLOOKUP($Z44,SegAWS[],HLOOKUP("Equation Form",SegAWS[],2,FALSE),FALSE)="Form 1",(((VLOOKUP($Z44,SegAWS[],HLOOKUP("Form 1 Num",SegAWS[],2,FALSE),FALSE))/(1 + EXP(-((VLOOKUP($Z44,SegAWS[],HLOOKUP("Form 1 Exp Coeff",SegAWS[],2,FALSE),FALSE))*($K44-(VLOOKUP($Z44,SegAWS[],HLOOKUP("Form 1 AADT Coeff",SegAWS[],2,FALSE),FALSE)))))))+(VLOOKUP($Z44,SegAWS[],HLOOKUP("Form 1 End Factor",SegAWS[],2,FALSE),FALSE)))*$X44*$J44,
IF(VLOOKUP($Z44,SegAWS[],HLOOKUP("Equation Form",SegAWS[],2,FALSE),FALSE)="Form 2",(EXP((VLOOKUP($Z44,SegAWS[],HLOOKUP("Form 2 Exp Coeff",SegAWS[],2,FALSE),FALSE)))*($K44^(VLOOKUP($Z44,SegAWS[],HLOOKUP("Form 2 AADT Coeff",SegAWS[],2,FALSE),FALSE))))*$X44*$J44,"Data Error: SPF Lookup Name")))</f>
        <v>Data Error: Segment Length</v>
      </c>
      <c r="AD44" s="42" t="e">
        <f>((1/(1+VLOOKUP($Z44,SegAWS[],HLOOKUP("Dispersion Parameter",SegAWS[],2,FALSE),FALSE)*AC44))*AC44
+(1-1/(1+VLOOKUP($Z44,SegAWS[],HLOOKUP("Dispersion Parameter",SegAWS[],2,FALSE),FALSE)*AC44))*AB44)</f>
        <v>#N/A</v>
      </c>
      <c r="AE44" s="44">
        <f t="shared" si="37"/>
        <v>0</v>
      </c>
      <c r="AF44" s="42" t="e">
        <f t="shared" si="15"/>
        <v>#VALUE!</v>
      </c>
      <c r="AG44" s="41" t="e">
        <f>((1/(1+VLOOKUP($Z44,SegAWS[],HLOOKUP("Dispersion Parameter",SegAWS[],2,FALSE),FALSE)*AF44))*AF44
+(1-1/(1+VLOOKUP($Z44,SegAWS[],HLOOKUP("Dispersion Parameter",SegAWS[],2,FALSE),FALSE)*AF44))*AE44)</f>
        <v>#N/A</v>
      </c>
      <c r="AH44" s="101">
        <f t="shared" si="51"/>
        <v>0</v>
      </c>
      <c r="AI44" s="101" t="str">
        <f t="shared" si="38"/>
        <v>Missing Data</v>
      </c>
      <c r="AJ44" s="41" t="str">
        <f t="shared" si="39"/>
        <v>Missing Data</v>
      </c>
      <c r="AK44" s="101" t="str">
        <f t="shared" si="40"/>
        <v>Missing Data</v>
      </c>
      <c r="AL44" s="41" t="str">
        <f t="shared" si="41"/>
        <v>Missing Data</v>
      </c>
      <c r="AM44" s="44">
        <f t="shared" si="42"/>
        <v>0</v>
      </c>
      <c r="AN44" s="44">
        <f t="shared" si="43"/>
        <v>0</v>
      </c>
      <c r="AO44" s="60" t="str">
        <f t="shared" si="11"/>
        <v>Missing Data</v>
      </c>
      <c r="AP44" s="107"/>
      <c r="AQ44" s="107"/>
      <c r="AR44" s="41" t="e">
        <f>VLOOKUP($Z44,SegAWS[],HLOOKUP("Dispersion Parameter",SegAWS[],2,FALSE),FALSE)</f>
        <v>#N/A</v>
      </c>
      <c r="AS44" s="42" t="e">
        <f>VLOOKUP($Z44,SegAWS[],HLOOKUP("Dispersion Parameter",SegAWS[],2,FALSE),FALSE)</f>
        <v>#N/A</v>
      </c>
      <c r="AT44" s="41" t="e">
        <f t="shared" si="44"/>
        <v>#N/A</v>
      </c>
      <c r="AU44" s="41" t="e">
        <f t="shared" si="45"/>
        <v>#VALUE!</v>
      </c>
      <c r="AV44" s="41" t="e">
        <f t="shared" si="46"/>
        <v>#N/A</v>
      </c>
      <c r="AW44" s="41" t="e">
        <f t="shared" si="47"/>
        <v>#VALUE!</v>
      </c>
    </row>
    <row r="45" spans="1:49" x14ac:dyDescent="0.3">
      <c r="A45" s="110"/>
      <c r="B45" s="101"/>
      <c r="C45" s="101"/>
      <c r="D45" s="101"/>
      <c r="E45" s="101"/>
      <c r="F45" s="101"/>
      <c r="G45" s="101"/>
      <c r="H45" s="101"/>
      <c r="I45" s="44"/>
      <c r="J45" s="41"/>
      <c r="K45" s="43"/>
      <c r="L45" s="101"/>
      <c r="M45" s="101"/>
      <c r="N45" s="101"/>
      <c r="O45" s="44"/>
      <c r="P45" s="44"/>
      <c r="Q45" s="44"/>
      <c r="R45" s="44"/>
      <c r="S45" s="44"/>
      <c r="T45" s="44"/>
      <c r="U45" s="44"/>
      <c r="V45" s="44"/>
      <c r="W45" s="101" t="str">
        <f t="shared" si="48"/>
        <v/>
      </c>
      <c r="X45" s="43">
        <f t="shared" si="49"/>
        <v>5</v>
      </c>
      <c r="Y45" s="85" t="e">
        <f>VLOOKUP(Z45,SegAWS[],HLOOKUP("AWS Name",SegAWS[],2,FALSE),FALSE)</f>
        <v>#N/A</v>
      </c>
      <c r="Z45" s="91" t="str">
        <f t="shared" si="50"/>
        <v>Data Error: Number of Lanes</v>
      </c>
      <c r="AA45" s="108" t="str">
        <f>IFERROR(VLOOKUP($Z45,SegAWS[],HLOOKUP("KABC Scaler",SegAWS[],2,FALSE),FALSE),"Data Error")</f>
        <v>Data Error</v>
      </c>
      <c r="AB45" s="44">
        <f t="shared" si="36"/>
        <v>0</v>
      </c>
      <c r="AC45" s="42" t="str">
        <f>IF($J45="","Data Error: Segment Length",
IF(VLOOKUP($Z45,SegAWS[],HLOOKUP("Equation Form",SegAWS[],2,FALSE),FALSE)="Form 1",(((VLOOKUP($Z45,SegAWS[],HLOOKUP("Form 1 Num",SegAWS[],2,FALSE),FALSE))/(1 + EXP(-((VLOOKUP($Z45,SegAWS[],HLOOKUP("Form 1 Exp Coeff",SegAWS[],2,FALSE),FALSE))*($K45-(VLOOKUP($Z45,SegAWS[],HLOOKUP("Form 1 AADT Coeff",SegAWS[],2,FALSE),FALSE)))))))+(VLOOKUP($Z45,SegAWS[],HLOOKUP("Form 1 End Factor",SegAWS[],2,FALSE),FALSE)))*$X45*$J45,
IF(VLOOKUP($Z45,SegAWS[],HLOOKUP("Equation Form",SegAWS[],2,FALSE),FALSE)="Form 2",(EXP((VLOOKUP($Z45,SegAWS[],HLOOKUP("Form 2 Exp Coeff",SegAWS[],2,FALSE),FALSE)))*($K45^(VLOOKUP($Z45,SegAWS[],HLOOKUP("Form 2 AADT Coeff",SegAWS[],2,FALSE),FALSE))))*$X45*$J45,"Data Error: SPF Lookup Name")))</f>
        <v>Data Error: Segment Length</v>
      </c>
      <c r="AD45" s="42" t="e">
        <f>((1/(1+VLOOKUP($Z45,SegAWS[],HLOOKUP("Dispersion Parameter",SegAWS[],2,FALSE),FALSE)*AC45))*AC45
+(1-1/(1+VLOOKUP($Z45,SegAWS[],HLOOKUP("Dispersion Parameter",SegAWS[],2,FALSE),FALSE)*AC45))*AB45)</f>
        <v>#N/A</v>
      </c>
      <c r="AE45" s="44">
        <f t="shared" si="37"/>
        <v>0</v>
      </c>
      <c r="AF45" s="42" t="e">
        <f t="shared" si="15"/>
        <v>#VALUE!</v>
      </c>
      <c r="AG45" s="41" t="e">
        <f>((1/(1+VLOOKUP($Z45,SegAWS[],HLOOKUP("Dispersion Parameter",SegAWS[],2,FALSE),FALSE)*AF45))*AF45
+(1-1/(1+VLOOKUP($Z45,SegAWS[],HLOOKUP("Dispersion Parameter",SegAWS[],2,FALSE),FALSE)*AF45))*AE45)</f>
        <v>#N/A</v>
      </c>
      <c r="AH45" s="101">
        <f t="shared" si="51"/>
        <v>0</v>
      </c>
      <c r="AI45" s="101" t="str">
        <f t="shared" si="38"/>
        <v>Missing Data</v>
      </c>
      <c r="AJ45" s="41" t="str">
        <f t="shared" si="39"/>
        <v>Missing Data</v>
      </c>
      <c r="AK45" s="101" t="str">
        <f t="shared" si="40"/>
        <v>Missing Data</v>
      </c>
      <c r="AL45" s="41" t="str">
        <f t="shared" si="41"/>
        <v>Missing Data</v>
      </c>
      <c r="AM45" s="44">
        <f t="shared" si="42"/>
        <v>0</v>
      </c>
      <c r="AN45" s="44">
        <f t="shared" si="43"/>
        <v>0</v>
      </c>
      <c r="AO45" s="60" t="str">
        <f t="shared" si="11"/>
        <v>Missing Data</v>
      </c>
      <c r="AP45" s="107"/>
      <c r="AQ45" s="107"/>
      <c r="AR45" s="41" t="e">
        <f>VLOOKUP($Z45,SegAWS[],HLOOKUP("Dispersion Parameter",SegAWS[],2,FALSE),FALSE)</f>
        <v>#N/A</v>
      </c>
      <c r="AS45" s="42" t="e">
        <f>VLOOKUP($Z45,SegAWS[],HLOOKUP("Dispersion Parameter",SegAWS[],2,FALSE),FALSE)</f>
        <v>#N/A</v>
      </c>
      <c r="AT45" s="41" t="e">
        <f t="shared" si="44"/>
        <v>#N/A</v>
      </c>
      <c r="AU45" s="41" t="e">
        <f t="shared" si="45"/>
        <v>#VALUE!</v>
      </c>
      <c r="AV45" s="41" t="e">
        <f t="shared" si="46"/>
        <v>#N/A</v>
      </c>
      <c r="AW45" s="41" t="e">
        <f t="shared" si="47"/>
        <v>#VALUE!</v>
      </c>
    </row>
    <row r="46" spans="1:49" x14ac:dyDescent="0.3">
      <c r="A46" s="110"/>
      <c r="B46" s="101"/>
      <c r="C46" s="101"/>
      <c r="D46" s="101"/>
      <c r="E46" s="101"/>
      <c r="F46" s="101"/>
      <c r="G46" s="101"/>
      <c r="H46" s="101"/>
      <c r="I46" s="44"/>
      <c r="J46" s="41"/>
      <c r="K46" s="43"/>
      <c r="L46" s="101"/>
      <c r="M46" s="101"/>
      <c r="N46" s="101"/>
      <c r="O46" s="44"/>
      <c r="P46" s="44"/>
      <c r="Q46" s="44"/>
      <c r="R46" s="44"/>
      <c r="S46" s="44"/>
      <c r="T46" s="44"/>
      <c r="U46" s="44"/>
      <c r="V46" s="44"/>
      <c r="W46" s="101" t="str">
        <f t="shared" si="48"/>
        <v/>
      </c>
      <c r="X46" s="43">
        <f t="shared" si="49"/>
        <v>5</v>
      </c>
      <c r="Y46" s="85" t="e">
        <f>VLOOKUP(Z46,SegAWS[],HLOOKUP("AWS Name",SegAWS[],2,FALSE),FALSE)</f>
        <v>#N/A</v>
      </c>
      <c r="Z46" s="91" t="str">
        <f t="shared" si="50"/>
        <v>Data Error: Number of Lanes</v>
      </c>
      <c r="AA46" s="108" t="str">
        <f>IFERROR(VLOOKUP($Z46,SegAWS[],HLOOKUP("KABC Scaler",SegAWS[],2,FALSE),FALSE),"Data Error")</f>
        <v>Data Error</v>
      </c>
      <c r="AB46" s="44">
        <f t="shared" si="36"/>
        <v>0</v>
      </c>
      <c r="AC46" s="42" t="str">
        <f>IF($J46="","Data Error: Segment Length",
IF(VLOOKUP($Z46,SegAWS[],HLOOKUP("Equation Form",SegAWS[],2,FALSE),FALSE)="Form 1",(((VLOOKUP($Z46,SegAWS[],HLOOKUP("Form 1 Num",SegAWS[],2,FALSE),FALSE))/(1 + EXP(-((VLOOKUP($Z46,SegAWS[],HLOOKUP("Form 1 Exp Coeff",SegAWS[],2,FALSE),FALSE))*($K46-(VLOOKUP($Z46,SegAWS[],HLOOKUP("Form 1 AADT Coeff",SegAWS[],2,FALSE),FALSE)))))))+(VLOOKUP($Z46,SegAWS[],HLOOKUP("Form 1 End Factor",SegAWS[],2,FALSE),FALSE)))*$X46*$J46,
IF(VLOOKUP($Z46,SegAWS[],HLOOKUP("Equation Form",SegAWS[],2,FALSE),FALSE)="Form 2",(EXP((VLOOKUP($Z46,SegAWS[],HLOOKUP("Form 2 Exp Coeff",SegAWS[],2,FALSE),FALSE)))*($K46^(VLOOKUP($Z46,SegAWS[],HLOOKUP("Form 2 AADT Coeff",SegAWS[],2,FALSE),FALSE))))*$X46*$J46,"Data Error: SPF Lookup Name")))</f>
        <v>Data Error: Segment Length</v>
      </c>
      <c r="AD46" s="42" t="e">
        <f>((1/(1+VLOOKUP($Z46,SegAWS[],HLOOKUP("Dispersion Parameter",SegAWS[],2,FALSE),FALSE)*AC46))*AC46
+(1-1/(1+VLOOKUP($Z46,SegAWS[],HLOOKUP("Dispersion Parameter",SegAWS[],2,FALSE),FALSE)*AC46))*AB46)</f>
        <v>#N/A</v>
      </c>
      <c r="AE46" s="44">
        <f t="shared" si="37"/>
        <v>0</v>
      </c>
      <c r="AF46" s="42" t="e">
        <f t="shared" si="15"/>
        <v>#VALUE!</v>
      </c>
      <c r="AG46" s="41" t="e">
        <f>((1/(1+VLOOKUP($Z46,SegAWS[],HLOOKUP("Dispersion Parameter",SegAWS[],2,FALSE),FALSE)*AF46))*AF46
+(1-1/(1+VLOOKUP($Z46,SegAWS[],HLOOKUP("Dispersion Parameter",SegAWS[],2,FALSE),FALSE)*AF46))*AE46)</f>
        <v>#N/A</v>
      </c>
      <c r="AH46" s="101">
        <f t="shared" si="51"/>
        <v>0</v>
      </c>
      <c r="AI46" s="101" t="str">
        <f t="shared" si="38"/>
        <v>Missing Data</v>
      </c>
      <c r="AJ46" s="41" t="str">
        <f t="shared" si="39"/>
        <v>Missing Data</v>
      </c>
      <c r="AK46" s="101" t="str">
        <f t="shared" si="40"/>
        <v>Missing Data</v>
      </c>
      <c r="AL46" s="41" t="str">
        <f t="shared" si="41"/>
        <v>Missing Data</v>
      </c>
      <c r="AM46" s="44">
        <f t="shared" si="42"/>
        <v>0</v>
      </c>
      <c r="AN46" s="44">
        <f t="shared" si="43"/>
        <v>0</v>
      </c>
      <c r="AO46" s="60" t="str">
        <f t="shared" si="11"/>
        <v>Missing Data</v>
      </c>
      <c r="AP46" s="107"/>
      <c r="AQ46" s="107"/>
      <c r="AR46" s="41" t="e">
        <f>VLOOKUP($Z46,SegAWS[],HLOOKUP("Dispersion Parameter",SegAWS[],2,FALSE),FALSE)</f>
        <v>#N/A</v>
      </c>
      <c r="AS46" s="42" t="e">
        <f>VLOOKUP($Z46,SegAWS[],HLOOKUP("Dispersion Parameter",SegAWS[],2,FALSE),FALSE)</f>
        <v>#N/A</v>
      </c>
      <c r="AT46" s="41" t="e">
        <f t="shared" si="44"/>
        <v>#N/A</v>
      </c>
      <c r="AU46" s="41" t="e">
        <f t="shared" si="45"/>
        <v>#VALUE!</v>
      </c>
      <c r="AV46" s="41" t="e">
        <f t="shared" si="46"/>
        <v>#N/A</v>
      </c>
      <c r="AW46" s="41" t="e">
        <f t="shared" si="47"/>
        <v>#VALUE!</v>
      </c>
    </row>
    <row r="47" spans="1:49" x14ac:dyDescent="0.3">
      <c r="A47" s="110"/>
      <c r="B47" s="101"/>
      <c r="C47" s="101"/>
      <c r="D47" s="101"/>
      <c r="E47" s="101"/>
      <c r="F47" s="101"/>
      <c r="G47" s="101"/>
      <c r="H47" s="101"/>
      <c r="I47" s="44"/>
      <c r="J47" s="41"/>
      <c r="K47" s="43"/>
      <c r="L47" s="101"/>
      <c r="M47" s="101"/>
      <c r="N47" s="101"/>
      <c r="O47" s="44"/>
      <c r="P47" s="44"/>
      <c r="Q47" s="44"/>
      <c r="R47" s="44"/>
      <c r="S47" s="44"/>
      <c r="T47" s="44"/>
      <c r="U47" s="44"/>
      <c r="V47" s="44"/>
      <c r="W47" s="101" t="str">
        <f t="shared" si="48"/>
        <v/>
      </c>
      <c r="X47" s="43">
        <f t="shared" si="49"/>
        <v>5</v>
      </c>
      <c r="Y47" s="85" t="e">
        <f>VLOOKUP(Z47,SegAWS[],HLOOKUP("AWS Name",SegAWS[],2,FALSE),FALSE)</f>
        <v>#N/A</v>
      </c>
      <c r="Z47" s="91" t="str">
        <f t="shared" si="50"/>
        <v>Data Error: Number of Lanes</v>
      </c>
      <c r="AA47" s="108" t="str">
        <f>IFERROR(VLOOKUP($Z47,SegAWS[],HLOOKUP("KABC Scaler",SegAWS[],2,FALSE),FALSE),"Data Error")</f>
        <v>Data Error</v>
      </c>
      <c r="AB47" s="44">
        <f t="shared" si="36"/>
        <v>0</v>
      </c>
      <c r="AC47" s="42" t="str">
        <f>IF($J47="","Data Error: Segment Length",
IF(VLOOKUP($Z47,SegAWS[],HLOOKUP("Equation Form",SegAWS[],2,FALSE),FALSE)="Form 1",(((VLOOKUP($Z47,SegAWS[],HLOOKUP("Form 1 Num",SegAWS[],2,FALSE),FALSE))/(1 + EXP(-((VLOOKUP($Z47,SegAWS[],HLOOKUP("Form 1 Exp Coeff",SegAWS[],2,FALSE),FALSE))*($K47-(VLOOKUP($Z47,SegAWS[],HLOOKUP("Form 1 AADT Coeff",SegAWS[],2,FALSE),FALSE)))))))+(VLOOKUP($Z47,SegAWS[],HLOOKUP("Form 1 End Factor",SegAWS[],2,FALSE),FALSE)))*$X47*$J47,
IF(VLOOKUP($Z47,SegAWS[],HLOOKUP("Equation Form",SegAWS[],2,FALSE),FALSE)="Form 2",(EXP((VLOOKUP($Z47,SegAWS[],HLOOKUP("Form 2 Exp Coeff",SegAWS[],2,FALSE),FALSE)))*($K47^(VLOOKUP($Z47,SegAWS[],HLOOKUP("Form 2 AADT Coeff",SegAWS[],2,FALSE),FALSE))))*$X47*$J47,"Data Error: SPF Lookup Name")))</f>
        <v>Data Error: Segment Length</v>
      </c>
      <c r="AD47" s="42" t="e">
        <f>((1/(1+VLOOKUP($Z47,SegAWS[],HLOOKUP("Dispersion Parameter",SegAWS[],2,FALSE),FALSE)*AC47))*AC47
+(1-1/(1+VLOOKUP($Z47,SegAWS[],HLOOKUP("Dispersion Parameter",SegAWS[],2,FALSE),FALSE)*AC47))*AB47)</f>
        <v>#N/A</v>
      </c>
      <c r="AE47" s="44">
        <f t="shared" si="37"/>
        <v>0</v>
      </c>
      <c r="AF47" s="42" t="e">
        <f t="shared" si="15"/>
        <v>#VALUE!</v>
      </c>
      <c r="AG47" s="41" t="e">
        <f>((1/(1+VLOOKUP($Z47,SegAWS[],HLOOKUP("Dispersion Parameter",SegAWS[],2,FALSE),FALSE)*AF47))*AF47
+(1-1/(1+VLOOKUP($Z47,SegAWS[],HLOOKUP("Dispersion Parameter",SegAWS[],2,FALSE),FALSE)*AF47))*AE47)</f>
        <v>#N/A</v>
      </c>
      <c r="AH47" s="101">
        <f t="shared" si="51"/>
        <v>0</v>
      </c>
      <c r="AI47" s="101" t="str">
        <f t="shared" si="38"/>
        <v>Missing Data</v>
      </c>
      <c r="AJ47" s="41" t="str">
        <f t="shared" si="39"/>
        <v>Missing Data</v>
      </c>
      <c r="AK47" s="101" t="str">
        <f t="shared" si="40"/>
        <v>Missing Data</v>
      </c>
      <c r="AL47" s="41" t="str">
        <f t="shared" si="41"/>
        <v>Missing Data</v>
      </c>
      <c r="AM47" s="44">
        <f t="shared" si="42"/>
        <v>0</v>
      </c>
      <c r="AN47" s="44">
        <f t="shared" si="43"/>
        <v>0</v>
      </c>
      <c r="AO47" s="60" t="str">
        <f t="shared" si="11"/>
        <v>Missing Data</v>
      </c>
      <c r="AP47" s="107"/>
      <c r="AQ47" s="107"/>
      <c r="AR47" s="41" t="e">
        <f>VLOOKUP($Z47,SegAWS[],HLOOKUP("Dispersion Parameter",SegAWS[],2,FALSE),FALSE)</f>
        <v>#N/A</v>
      </c>
      <c r="AS47" s="42" t="e">
        <f>VLOOKUP($Z47,SegAWS[],HLOOKUP("Dispersion Parameter",SegAWS[],2,FALSE),FALSE)</f>
        <v>#N/A</v>
      </c>
      <c r="AT47" s="41" t="e">
        <f t="shared" si="44"/>
        <v>#N/A</v>
      </c>
      <c r="AU47" s="41" t="e">
        <f t="shared" si="45"/>
        <v>#VALUE!</v>
      </c>
      <c r="AV47" s="41" t="e">
        <f t="shared" si="46"/>
        <v>#N/A</v>
      </c>
      <c r="AW47" s="41" t="e">
        <f t="shared" si="47"/>
        <v>#VALUE!</v>
      </c>
    </row>
    <row r="48" spans="1:49" x14ac:dyDescent="0.3">
      <c r="A48" s="110"/>
      <c r="B48" s="101"/>
      <c r="C48" s="101"/>
      <c r="D48" s="101"/>
      <c r="E48" s="101"/>
      <c r="F48" s="101"/>
      <c r="G48" s="101"/>
      <c r="H48" s="101"/>
      <c r="I48" s="44"/>
      <c r="J48" s="41"/>
      <c r="K48" s="44"/>
      <c r="L48" s="101"/>
      <c r="M48" s="101"/>
      <c r="N48" s="101"/>
      <c r="O48" s="44"/>
      <c r="P48" s="44"/>
      <c r="Q48" s="44"/>
      <c r="R48" s="44"/>
      <c r="S48" s="44"/>
      <c r="T48" s="44"/>
      <c r="U48" s="44"/>
      <c r="V48" s="44"/>
      <c r="W48" s="101" t="str">
        <f t="shared" si="48"/>
        <v/>
      </c>
      <c r="X48" s="43">
        <f t="shared" si="49"/>
        <v>5</v>
      </c>
      <c r="Y48" s="85" t="e">
        <f>VLOOKUP(Z48,SegAWS[],HLOOKUP("AWS Name",SegAWS[],2,FALSE),FALSE)</f>
        <v>#N/A</v>
      </c>
      <c r="Z48" s="91" t="str">
        <f t="shared" si="50"/>
        <v>Data Error: Number of Lanes</v>
      </c>
      <c r="AA48" s="108" t="str">
        <f>IFERROR(VLOOKUP($Z48,SegAWS[],HLOOKUP("KABC Scaler",SegAWS[],2,FALSE),FALSE),"Data Error")</f>
        <v>Data Error</v>
      </c>
      <c r="AB48" s="44">
        <f t="shared" si="36"/>
        <v>0</v>
      </c>
      <c r="AC48" s="42" t="str">
        <f>IF($J48="","Data Error: Segment Length",
IF(VLOOKUP($Z48,SegAWS[],HLOOKUP("Equation Form",SegAWS[],2,FALSE),FALSE)="Form 1",(((VLOOKUP($Z48,SegAWS[],HLOOKUP("Form 1 Num",SegAWS[],2,FALSE),FALSE))/(1 + EXP(-((VLOOKUP($Z48,SegAWS[],HLOOKUP("Form 1 Exp Coeff",SegAWS[],2,FALSE),FALSE))*($K48-(VLOOKUP($Z48,SegAWS[],HLOOKUP("Form 1 AADT Coeff",SegAWS[],2,FALSE),FALSE)))))))+(VLOOKUP($Z48,SegAWS[],HLOOKUP("Form 1 End Factor",SegAWS[],2,FALSE),FALSE)))*$X48*$J48,
IF(VLOOKUP($Z48,SegAWS[],HLOOKUP("Equation Form",SegAWS[],2,FALSE),FALSE)="Form 2",(EXP((VLOOKUP($Z48,SegAWS[],HLOOKUP("Form 2 Exp Coeff",SegAWS[],2,FALSE),FALSE)))*($K48^(VLOOKUP($Z48,SegAWS[],HLOOKUP("Form 2 AADT Coeff",SegAWS[],2,FALSE),FALSE))))*$X48*$J48,"Data Error: SPF Lookup Name")))</f>
        <v>Data Error: Segment Length</v>
      </c>
      <c r="AD48" s="42" t="e">
        <f>((1/(1+VLOOKUP($Z48,SegAWS[],HLOOKUP("Dispersion Parameter",SegAWS[],2,FALSE),FALSE)*AC48))*AC48
+(1-1/(1+VLOOKUP($Z48,SegAWS[],HLOOKUP("Dispersion Parameter",SegAWS[],2,FALSE),FALSE)*AC48))*AB48)</f>
        <v>#N/A</v>
      </c>
      <c r="AE48" s="44">
        <f t="shared" si="37"/>
        <v>0</v>
      </c>
      <c r="AF48" s="42" t="e">
        <f t="shared" si="15"/>
        <v>#VALUE!</v>
      </c>
      <c r="AG48" s="41" t="e">
        <f>((1/(1+VLOOKUP($Z48,SegAWS[],HLOOKUP("Dispersion Parameter",SegAWS[],2,FALSE),FALSE)*AF48))*AF48
+(1-1/(1+VLOOKUP($Z48,SegAWS[],HLOOKUP("Dispersion Parameter",SegAWS[],2,FALSE),FALSE)*AF48))*AE48)</f>
        <v>#N/A</v>
      </c>
      <c r="AH48" s="101">
        <f t="shared" si="51"/>
        <v>0</v>
      </c>
      <c r="AI48" s="101" t="str">
        <f t="shared" si="38"/>
        <v>Missing Data</v>
      </c>
      <c r="AJ48" s="41" t="str">
        <f t="shared" si="39"/>
        <v>Missing Data</v>
      </c>
      <c r="AK48" s="101" t="str">
        <f t="shared" si="40"/>
        <v>Missing Data</v>
      </c>
      <c r="AL48" s="41" t="str">
        <f t="shared" si="41"/>
        <v>Missing Data</v>
      </c>
      <c r="AM48" s="44">
        <f t="shared" si="42"/>
        <v>0</v>
      </c>
      <c r="AN48" s="44">
        <f t="shared" si="43"/>
        <v>0</v>
      </c>
      <c r="AO48" s="60" t="str">
        <f t="shared" si="11"/>
        <v>Missing Data</v>
      </c>
      <c r="AP48" s="107"/>
      <c r="AQ48" s="107"/>
      <c r="AR48" s="41" t="e">
        <f>VLOOKUP($Z48,SegAWS[],HLOOKUP("Dispersion Parameter",SegAWS[],2,FALSE),FALSE)</f>
        <v>#N/A</v>
      </c>
      <c r="AS48" s="42" t="e">
        <f>VLOOKUP($Z48,SegAWS[],HLOOKUP("Dispersion Parameter",SegAWS[],2,FALSE),FALSE)</f>
        <v>#N/A</v>
      </c>
      <c r="AT48" s="41" t="e">
        <f t="shared" si="44"/>
        <v>#N/A</v>
      </c>
      <c r="AU48" s="41" t="e">
        <f t="shared" si="45"/>
        <v>#VALUE!</v>
      </c>
      <c r="AV48" s="41" t="e">
        <f t="shared" si="46"/>
        <v>#N/A</v>
      </c>
      <c r="AW48" s="41" t="e">
        <f t="shared" si="47"/>
        <v>#VALUE!</v>
      </c>
    </row>
    <row r="49" spans="1:49" x14ac:dyDescent="0.3">
      <c r="A49" s="110"/>
      <c r="B49" s="101"/>
      <c r="C49" s="101"/>
      <c r="D49" s="101"/>
      <c r="E49" s="101"/>
      <c r="F49" s="101"/>
      <c r="G49" s="101"/>
      <c r="H49" s="101"/>
      <c r="I49" s="44"/>
      <c r="J49" s="41"/>
      <c r="K49" s="43"/>
      <c r="L49" s="101"/>
      <c r="M49" s="101"/>
      <c r="N49" s="101"/>
      <c r="O49" s="44"/>
      <c r="P49" s="44"/>
      <c r="Q49" s="44"/>
      <c r="R49" s="44"/>
      <c r="S49" s="44"/>
      <c r="T49" s="44"/>
      <c r="U49" s="44"/>
      <c r="V49" s="44"/>
      <c r="W49" s="101" t="str">
        <f t="shared" si="48"/>
        <v/>
      </c>
      <c r="X49" s="43">
        <f t="shared" si="49"/>
        <v>5</v>
      </c>
      <c r="Y49" s="85" t="e">
        <f>VLOOKUP(Z49,SegAWS[],HLOOKUP("AWS Name",SegAWS[],2,FALSE),FALSE)</f>
        <v>#N/A</v>
      </c>
      <c r="Z49" s="91" t="str">
        <f t="shared" si="50"/>
        <v>Data Error: Number of Lanes</v>
      </c>
      <c r="AA49" s="108" t="str">
        <f>IFERROR(VLOOKUP($Z49,SegAWS[],HLOOKUP("KABC Scaler",SegAWS[],2,FALSE),FALSE),"Data Error")</f>
        <v>Data Error</v>
      </c>
      <c r="AB49" s="44">
        <f t="shared" si="36"/>
        <v>0</v>
      </c>
      <c r="AC49" s="42" t="str">
        <f>IF($J49="","Data Error: Segment Length",
IF(VLOOKUP($Z49,SegAWS[],HLOOKUP("Equation Form",SegAWS[],2,FALSE),FALSE)="Form 1",(((VLOOKUP($Z49,SegAWS[],HLOOKUP("Form 1 Num",SegAWS[],2,FALSE),FALSE))/(1 + EXP(-((VLOOKUP($Z49,SegAWS[],HLOOKUP("Form 1 Exp Coeff",SegAWS[],2,FALSE),FALSE))*($K49-(VLOOKUP($Z49,SegAWS[],HLOOKUP("Form 1 AADT Coeff",SegAWS[],2,FALSE),FALSE)))))))+(VLOOKUP($Z49,SegAWS[],HLOOKUP("Form 1 End Factor",SegAWS[],2,FALSE),FALSE)))*$X49*$J49,
IF(VLOOKUP($Z49,SegAWS[],HLOOKUP("Equation Form",SegAWS[],2,FALSE),FALSE)="Form 2",(EXP((VLOOKUP($Z49,SegAWS[],HLOOKUP("Form 2 Exp Coeff",SegAWS[],2,FALSE),FALSE)))*($K49^(VLOOKUP($Z49,SegAWS[],HLOOKUP("Form 2 AADT Coeff",SegAWS[],2,FALSE),FALSE))))*$X49*$J49,"Data Error: SPF Lookup Name")))</f>
        <v>Data Error: Segment Length</v>
      </c>
      <c r="AD49" s="42" t="e">
        <f>((1/(1+VLOOKUP($Z49,SegAWS[],HLOOKUP("Dispersion Parameter",SegAWS[],2,FALSE),FALSE)*AC49))*AC49
+(1-1/(1+VLOOKUP($Z49,SegAWS[],HLOOKUP("Dispersion Parameter",SegAWS[],2,FALSE),FALSE)*AC49))*AB49)</f>
        <v>#N/A</v>
      </c>
      <c r="AE49" s="44">
        <f t="shared" si="37"/>
        <v>0</v>
      </c>
      <c r="AF49" s="42" t="e">
        <f t="shared" si="15"/>
        <v>#VALUE!</v>
      </c>
      <c r="AG49" s="41" t="e">
        <f>((1/(1+VLOOKUP($Z49,SegAWS[],HLOOKUP("Dispersion Parameter",SegAWS[],2,FALSE),FALSE)*AF49))*AF49
+(1-1/(1+VLOOKUP($Z49,SegAWS[],HLOOKUP("Dispersion Parameter",SegAWS[],2,FALSE),FALSE)*AF49))*AE49)</f>
        <v>#N/A</v>
      </c>
      <c r="AH49" s="101">
        <f t="shared" si="51"/>
        <v>0</v>
      </c>
      <c r="AI49" s="101" t="str">
        <f t="shared" si="38"/>
        <v>Missing Data</v>
      </c>
      <c r="AJ49" s="41" t="str">
        <f t="shared" si="39"/>
        <v>Missing Data</v>
      </c>
      <c r="AK49" s="101" t="str">
        <f t="shared" si="40"/>
        <v>Missing Data</v>
      </c>
      <c r="AL49" s="41" t="str">
        <f t="shared" si="41"/>
        <v>Missing Data</v>
      </c>
      <c r="AM49" s="44">
        <f t="shared" si="42"/>
        <v>0</v>
      </c>
      <c r="AN49" s="44">
        <f t="shared" si="43"/>
        <v>0</v>
      </c>
      <c r="AO49" s="60" t="str">
        <f t="shared" si="11"/>
        <v>Missing Data</v>
      </c>
      <c r="AP49" s="107"/>
      <c r="AQ49" s="107"/>
      <c r="AR49" s="41" t="e">
        <f>VLOOKUP($Z49,SegAWS[],HLOOKUP("Dispersion Parameter",SegAWS[],2,FALSE),FALSE)</f>
        <v>#N/A</v>
      </c>
      <c r="AS49" s="42" t="e">
        <f>VLOOKUP($Z49,SegAWS[],HLOOKUP("Dispersion Parameter",SegAWS[],2,FALSE),FALSE)</f>
        <v>#N/A</v>
      </c>
      <c r="AT49" s="41" t="e">
        <f t="shared" si="44"/>
        <v>#N/A</v>
      </c>
      <c r="AU49" s="41" t="e">
        <f t="shared" si="45"/>
        <v>#VALUE!</v>
      </c>
      <c r="AV49" s="41" t="e">
        <f t="shared" si="46"/>
        <v>#N/A</v>
      </c>
      <c r="AW49" s="41" t="e">
        <f t="shared" si="47"/>
        <v>#VALUE!</v>
      </c>
    </row>
    <row r="50" spans="1:49" x14ac:dyDescent="0.3">
      <c r="A50" s="110"/>
      <c r="B50" s="101"/>
      <c r="C50" s="101"/>
      <c r="D50" s="101"/>
      <c r="E50" s="101"/>
      <c r="F50" s="101"/>
      <c r="G50" s="101"/>
      <c r="H50" s="101"/>
      <c r="I50" s="44"/>
      <c r="J50" s="41"/>
      <c r="K50" s="44"/>
      <c r="L50" s="101"/>
      <c r="M50" s="101"/>
      <c r="N50" s="101"/>
      <c r="O50" s="44"/>
      <c r="P50" s="44"/>
      <c r="Q50" s="44"/>
      <c r="R50" s="44"/>
      <c r="S50" s="44"/>
      <c r="T50" s="44"/>
      <c r="U50" s="44"/>
      <c r="V50" s="44"/>
      <c r="W50" s="101" t="str">
        <f t="shared" si="48"/>
        <v/>
      </c>
      <c r="X50" s="43">
        <f t="shared" si="49"/>
        <v>5</v>
      </c>
      <c r="Y50" s="85" t="e">
        <f>VLOOKUP(Z50,SegAWS[],HLOOKUP("AWS Name",SegAWS[],2,FALSE),FALSE)</f>
        <v>#N/A</v>
      </c>
      <c r="Z50" s="91" t="str">
        <f t="shared" si="50"/>
        <v>Data Error: Number of Lanes</v>
      </c>
      <c r="AA50" s="108" t="str">
        <f>IFERROR(VLOOKUP($Z50,SegAWS[],HLOOKUP("KABC Scaler",SegAWS[],2,FALSE),FALSE),"Data Error")</f>
        <v>Data Error</v>
      </c>
      <c r="AB50" s="44">
        <f t="shared" si="36"/>
        <v>0</v>
      </c>
      <c r="AC50" s="42" t="str">
        <f>IF($J50="","Data Error: Segment Length",
IF(VLOOKUP($Z50,SegAWS[],HLOOKUP("Equation Form",SegAWS[],2,FALSE),FALSE)="Form 1",(((VLOOKUP($Z50,SegAWS[],HLOOKUP("Form 1 Num",SegAWS[],2,FALSE),FALSE))/(1 + EXP(-((VLOOKUP($Z50,SegAWS[],HLOOKUP("Form 1 Exp Coeff",SegAWS[],2,FALSE),FALSE))*($K50-(VLOOKUP($Z50,SegAWS[],HLOOKUP("Form 1 AADT Coeff",SegAWS[],2,FALSE),FALSE)))))))+(VLOOKUP($Z50,SegAWS[],HLOOKUP("Form 1 End Factor",SegAWS[],2,FALSE),FALSE)))*$X50*$J50,
IF(VLOOKUP($Z50,SegAWS[],HLOOKUP("Equation Form",SegAWS[],2,FALSE),FALSE)="Form 2",(EXP((VLOOKUP($Z50,SegAWS[],HLOOKUP("Form 2 Exp Coeff",SegAWS[],2,FALSE),FALSE)))*($K50^(VLOOKUP($Z50,SegAWS[],HLOOKUP("Form 2 AADT Coeff",SegAWS[],2,FALSE),FALSE))))*$X50*$J50,"Data Error: SPF Lookup Name")))</f>
        <v>Data Error: Segment Length</v>
      </c>
      <c r="AD50" s="42" t="e">
        <f>((1/(1+VLOOKUP($Z50,SegAWS[],HLOOKUP("Dispersion Parameter",SegAWS[],2,FALSE),FALSE)*AC50))*AC50
+(1-1/(1+VLOOKUP($Z50,SegAWS[],HLOOKUP("Dispersion Parameter",SegAWS[],2,FALSE),FALSE)*AC50))*AB50)</f>
        <v>#N/A</v>
      </c>
      <c r="AE50" s="44">
        <f t="shared" si="37"/>
        <v>0</v>
      </c>
      <c r="AF50" s="42" t="e">
        <f t="shared" si="15"/>
        <v>#VALUE!</v>
      </c>
      <c r="AG50" s="41" t="e">
        <f>((1/(1+VLOOKUP($Z50,SegAWS[],HLOOKUP("Dispersion Parameter",SegAWS[],2,FALSE),FALSE)*AF50))*AF50
+(1-1/(1+VLOOKUP($Z50,SegAWS[],HLOOKUP("Dispersion Parameter",SegAWS[],2,FALSE),FALSE)*AF50))*AE50)</f>
        <v>#N/A</v>
      </c>
      <c r="AH50" s="101">
        <f t="shared" si="51"/>
        <v>0</v>
      </c>
      <c r="AI50" s="101" t="str">
        <f t="shared" si="38"/>
        <v>Missing Data</v>
      </c>
      <c r="AJ50" s="41" t="str">
        <f t="shared" si="39"/>
        <v>Missing Data</v>
      </c>
      <c r="AK50" s="101" t="str">
        <f t="shared" si="40"/>
        <v>Missing Data</v>
      </c>
      <c r="AL50" s="41" t="str">
        <f t="shared" si="41"/>
        <v>Missing Data</v>
      </c>
      <c r="AM50" s="44">
        <f t="shared" si="42"/>
        <v>0</v>
      </c>
      <c r="AN50" s="44">
        <f t="shared" si="43"/>
        <v>0</v>
      </c>
      <c r="AO50" s="60" t="str">
        <f t="shared" si="11"/>
        <v>Missing Data</v>
      </c>
      <c r="AP50" s="107"/>
      <c r="AQ50" s="107"/>
      <c r="AR50" s="41" t="e">
        <f>VLOOKUP($Z50,SegAWS[],HLOOKUP("Dispersion Parameter",SegAWS[],2,FALSE),FALSE)</f>
        <v>#N/A</v>
      </c>
      <c r="AS50" s="42" t="e">
        <f>VLOOKUP($Z50,SegAWS[],HLOOKUP("Dispersion Parameter",SegAWS[],2,FALSE),FALSE)</f>
        <v>#N/A</v>
      </c>
      <c r="AT50" s="41" t="e">
        <f t="shared" si="44"/>
        <v>#N/A</v>
      </c>
      <c r="AU50" s="41" t="e">
        <f t="shared" si="45"/>
        <v>#VALUE!</v>
      </c>
      <c r="AV50" s="41" t="e">
        <f t="shared" si="46"/>
        <v>#N/A</v>
      </c>
      <c r="AW50" s="41" t="e">
        <f t="shared" si="47"/>
        <v>#VALUE!</v>
      </c>
    </row>
    <row r="51" spans="1:49" x14ac:dyDescent="0.3">
      <c r="A51" s="110"/>
      <c r="B51" s="101"/>
      <c r="C51" s="101"/>
      <c r="D51" s="101"/>
      <c r="E51" s="101"/>
      <c r="F51" s="101"/>
      <c r="G51" s="101"/>
      <c r="H51" s="101"/>
      <c r="I51" s="44"/>
      <c r="J51" s="41"/>
      <c r="K51" s="44"/>
      <c r="L51" s="101"/>
      <c r="M51" s="101"/>
      <c r="N51" s="101"/>
      <c r="O51" s="44"/>
      <c r="P51" s="44"/>
      <c r="Q51" s="44"/>
      <c r="R51" s="44"/>
      <c r="S51" s="44"/>
      <c r="T51" s="44"/>
      <c r="U51" s="44"/>
      <c r="V51" s="44"/>
      <c r="W51" s="101" t="str">
        <f t="shared" si="48"/>
        <v/>
      </c>
      <c r="X51" s="43">
        <f t="shared" si="49"/>
        <v>5</v>
      </c>
      <c r="Y51" s="85" t="e">
        <f>VLOOKUP(Z51,SegAWS[],HLOOKUP("AWS Name",SegAWS[],2,FALSE),FALSE)</f>
        <v>#N/A</v>
      </c>
      <c r="Z51" s="91" t="str">
        <f t="shared" si="50"/>
        <v>Data Error: Number of Lanes</v>
      </c>
      <c r="AA51" s="108" t="str">
        <f>IFERROR(VLOOKUP($Z51,SegAWS[],HLOOKUP("KABC Scaler",SegAWS[],2,FALSE),FALSE),"Data Error")</f>
        <v>Data Error</v>
      </c>
      <c r="AB51" s="44">
        <f t="shared" si="36"/>
        <v>0</v>
      </c>
      <c r="AC51" s="42" t="str">
        <f>IF($J51="","Data Error: Segment Length",
IF(VLOOKUP($Z51,SegAWS[],HLOOKUP("Equation Form",SegAWS[],2,FALSE),FALSE)="Form 1",(((VLOOKUP($Z51,SegAWS[],HLOOKUP("Form 1 Num",SegAWS[],2,FALSE),FALSE))/(1 + EXP(-((VLOOKUP($Z51,SegAWS[],HLOOKUP("Form 1 Exp Coeff",SegAWS[],2,FALSE),FALSE))*($K51-(VLOOKUP($Z51,SegAWS[],HLOOKUP("Form 1 AADT Coeff",SegAWS[],2,FALSE),FALSE)))))))+(VLOOKUP($Z51,SegAWS[],HLOOKUP("Form 1 End Factor",SegAWS[],2,FALSE),FALSE)))*$X51*$J51,
IF(VLOOKUP($Z51,SegAWS[],HLOOKUP("Equation Form",SegAWS[],2,FALSE),FALSE)="Form 2",(EXP((VLOOKUP($Z51,SegAWS[],HLOOKUP("Form 2 Exp Coeff",SegAWS[],2,FALSE),FALSE)))*($K51^(VLOOKUP($Z51,SegAWS[],HLOOKUP("Form 2 AADT Coeff",SegAWS[],2,FALSE),FALSE))))*$X51*$J51,"Data Error: SPF Lookup Name")))</f>
        <v>Data Error: Segment Length</v>
      </c>
      <c r="AD51" s="42" t="e">
        <f>((1/(1+VLOOKUP($Z51,SegAWS[],HLOOKUP("Dispersion Parameter",SegAWS[],2,FALSE),FALSE)*AC51))*AC51
+(1-1/(1+VLOOKUP($Z51,SegAWS[],HLOOKUP("Dispersion Parameter",SegAWS[],2,FALSE),FALSE)*AC51))*AB51)</f>
        <v>#N/A</v>
      </c>
      <c r="AE51" s="44">
        <f t="shared" si="37"/>
        <v>0</v>
      </c>
      <c r="AF51" s="42" t="e">
        <f t="shared" si="15"/>
        <v>#VALUE!</v>
      </c>
      <c r="AG51" s="41" t="e">
        <f>((1/(1+VLOOKUP($Z51,SegAWS[],HLOOKUP("Dispersion Parameter",SegAWS[],2,FALSE),FALSE)*AF51))*AF51
+(1-1/(1+VLOOKUP($Z51,SegAWS[],HLOOKUP("Dispersion Parameter",SegAWS[],2,FALSE),FALSE)*AF51))*AE51)</f>
        <v>#N/A</v>
      </c>
      <c r="AH51" s="101">
        <f t="shared" si="51"/>
        <v>0</v>
      </c>
      <c r="AI51" s="101" t="str">
        <f t="shared" si="38"/>
        <v>Missing Data</v>
      </c>
      <c r="AJ51" s="41" t="str">
        <f t="shared" si="39"/>
        <v>Missing Data</v>
      </c>
      <c r="AK51" s="101" t="str">
        <f t="shared" si="40"/>
        <v>Missing Data</v>
      </c>
      <c r="AL51" s="41" t="str">
        <f t="shared" si="41"/>
        <v>Missing Data</v>
      </c>
      <c r="AM51" s="44">
        <f t="shared" si="42"/>
        <v>0</v>
      </c>
      <c r="AN51" s="44">
        <f t="shared" si="43"/>
        <v>0</v>
      </c>
      <c r="AO51" s="60" t="str">
        <f t="shared" si="11"/>
        <v>Missing Data</v>
      </c>
      <c r="AP51" s="107"/>
      <c r="AQ51" s="107"/>
      <c r="AR51" s="41" t="e">
        <f>VLOOKUP($Z51,SegAWS[],HLOOKUP("Dispersion Parameter",SegAWS[],2,FALSE),FALSE)</f>
        <v>#N/A</v>
      </c>
      <c r="AS51" s="42" t="e">
        <f>VLOOKUP($Z51,SegAWS[],HLOOKUP("Dispersion Parameter",SegAWS[],2,FALSE),FALSE)</f>
        <v>#N/A</v>
      </c>
      <c r="AT51" s="41" t="e">
        <f t="shared" si="44"/>
        <v>#N/A</v>
      </c>
      <c r="AU51" s="41" t="e">
        <f t="shared" si="45"/>
        <v>#VALUE!</v>
      </c>
      <c r="AV51" s="41" t="e">
        <f t="shared" si="46"/>
        <v>#N/A</v>
      </c>
      <c r="AW51" s="41" t="e">
        <f t="shared" si="47"/>
        <v>#VALUE!</v>
      </c>
    </row>
    <row r="52" spans="1:49" x14ac:dyDescent="0.3">
      <c r="A52" s="110"/>
      <c r="B52" s="101"/>
      <c r="C52" s="101"/>
      <c r="D52" s="101"/>
      <c r="E52" s="101"/>
      <c r="F52" s="101"/>
      <c r="G52" s="101"/>
      <c r="H52" s="101"/>
      <c r="I52" s="44"/>
      <c r="J52" s="41"/>
      <c r="K52" s="44"/>
      <c r="L52" s="101"/>
      <c r="M52" s="101"/>
      <c r="N52" s="101"/>
      <c r="O52" s="44"/>
      <c r="P52" s="44"/>
      <c r="Q52" s="44"/>
      <c r="R52" s="44"/>
      <c r="S52" s="44"/>
      <c r="T52" s="44"/>
      <c r="U52" s="44"/>
      <c r="V52" s="44"/>
      <c r="W52" s="101" t="str">
        <f t="shared" si="48"/>
        <v/>
      </c>
      <c r="X52" s="43">
        <f t="shared" si="49"/>
        <v>5</v>
      </c>
      <c r="Y52" s="85" t="e">
        <f>VLOOKUP(Z52,SegAWS[],HLOOKUP("AWS Name",SegAWS[],2,FALSE),FALSE)</f>
        <v>#N/A</v>
      </c>
      <c r="Z52" s="91" t="str">
        <f t="shared" si="50"/>
        <v>Data Error: Number of Lanes</v>
      </c>
      <c r="AA52" s="108" t="str">
        <f>IFERROR(VLOOKUP($Z52,SegAWS[],HLOOKUP("KABC Scaler",SegAWS[],2,FALSE),FALSE),"Data Error")</f>
        <v>Data Error</v>
      </c>
      <c r="AB52" s="44">
        <f t="shared" si="36"/>
        <v>0</v>
      </c>
      <c r="AC52" s="42" t="str">
        <f>IF($J52="","Data Error: Segment Length",
IF(VLOOKUP($Z52,SegAWS[],HLOOKUP("Equation Form",SegAWS[],2,FALSE),FALSE)="Form 1",(((VLOOKUP($Z52,SegAWS[],HLOOKUP("Form 1 Num",SegAWS[],2,FALSE),FALSE))/(1 + EXP(-((VLOOKUP($Z52,SegAWS[],HLOOKUP("Form 1 Exp Coeff",SegAWS[],2,FALSE),FALSE))*($K52-(VLOOKUP($Z52,SegAWS[],HLOOKUP("Form 1 AADT Coeff",SegAWS[],2,FALSE),FALSE)))))))+(VLOOKUP($Z52,SegAWS[],HLOOKUP("Form 1 End Factor",SegAWS[],2,FALSE),FALSE)))*$X52*$J52,
IF(VLOOKUP($Z52,SegAWS[],HLOOKUP("Equation Form",SegAWS[],2,FALSE),FALSE)="Form 2",(EXP((VLOOKUP($Z52,SegAWS[],HLOOKUP("Form 2 Exp Coeff",SegAWS[],2,FALSE),FALSE)))*($K52^(VLOOKUP($Z52,SegAWS[],HLOOKUP("Form 2 AADT Coeff",SegAWS[],2,FALSE),FALSE))))*$X52*$J52,"Data Error: SPF Lookup Name")))</f>
        <v>Data Error: Segment Length</v>
      </c>
      <c r="AD52" s="42" t="e">
        <f>((1/(1+VLOOKUP($Z52,SegAWS[],HLOOKUP("Dispersion Parameter",SegAWS[],2,FALSE),FALSE)*AC52))*AC52
+(1-1/(1+VLOOKUP($Z52,SegAWS[],HLOOKUP("Dispersion Parameter",SegAWS[],2,FALSE),FALSE)*AC52))*AB52)</f>
        <v>#N/A</v>
      </c>
      <c r="AE52" s="44">
        <f t="shared" si="37"/>
        <v>0</v>
      </c>
      <c r="AF52" s="42" t="e">
        <f t="shared" si="15"/>
        <v>#VALUE!</v>
      </c>
      <c r="AG52" s="41" t="e">
        <f>((1/(1+VLOOKUP($Z52,SegAWS[],HLOOKUP("Dispersion Parameter",SegAWS[],2,FALSE),FALSE)*AF52))*AF52
+(1-1/(1+VLOOKUP($Z52,SegAWS[],HLOOKUP("Dispersion Parameter",SegAWS[],2,FALSE),FALSE)*AF52))*AE52)</f>
        <v>#N/A</v>
      </c>
      <c r="AH52" s="101">
        <f t="shared" si="51"/>
        <v>0</v>
      </c>
      <c r="AI52" s="101" t="str">
        <f t="shared" si="38"/>
        <v>Missing Data</v>
      </c>
      <c r="AJ52" s="41" t="str">
        <f t="shared" si="39"/>
        <v>Missing Data</v>
      </c>
      <c r="AK52" s="101" t="str">
        <f t="shared" si="40"/>
        <v>Missing Data</v>
      </c>
      <c r="AL52" s="41" t="str">
        <f t="shared" si="41"/>
        <v>Missing Data</v>
      </c>
      <c r="AM52" s="44">
        <f t="shared" si="42"/>
        <v>0</v>
      </c>
      <c r="AN52" s="44">
        <f t="shared" si="43"/>
        <v>0</v>
      </c>
      <c r="AO52" s="60" t="str">
        <f t="shared" si="11"/>
        <v>Missing Data</v>
      </c>
      <c r="AP52" s="107"/>
      <c r="AQ52" s="107"/>
      <c r="AR52" s="41" t="e">
        <f>VLOOKUP($Z52,SegAWS[],HLOOKUP("Dispersion Parameter",SegAWS[],2,FALSE),FALSE)</f>
        <v>#N/A</v>
      </c>
      <c r="AS52" s="42" t="e">
        <f>VLOOKUP($Z52,SegAWS[],HLOOKUP("Dispersion Parameter",SegAWS[],2,FALSE),FALSE)</f>
        <v>#N/A</v>
      </c>
      <c r="AT52" s="41" t="e">
        <f t="shared" si="44"/>
        <v>#N/A</v>
      </c>
      <c r="AU52" s="41" t="e">
        <f t="shared" si="45"/>
        <v>#VALUE!</v>
      </c>
      <c r="AV52" s="41" t="e">
        <f t="shared" si="46"/>
        <v>#N/A</v>
      </c>
      <c r="AW52" s="41" t="e">
        <f t="shared" si="47"/>
        <v>#VALUE!</v>
      </c>
    </row>
    <row r="53" spans="1:49" x14ac:dyDescent="0.3">
      <c r="A53" s="110"/>
      <c r="B53" s="101"/>
      <c r="C53" s="101"/>
      <c r="D53" s="101"/>
      <c r="E53" s="101"/>
      <c r="F53" s="101"/>
      <c r="G53" s="101"/>
      <c r="H53" s="101"/>
      <c r="I53" s="44"/>
      <c r="J53" s="41"/>
      <c r="K53" s="44"/>
      <c r="L53" s="101"/>
      <c r="M53" s="101"/>
      <c r="N53" s="101"/>
      <c r="O53" s="44"/>
      <c r="P53" s="44"/>
      <c r="Q53" s="44"/>
      <c r="R53" s="44"/>
      <c r="S53" s="44"/>
      <c r="T53" s="44"/>
      <c r="U53" s="44"/>
      <c r="V53" s="44"/>
      <c r="W53" s="101" t="str">
        <f t="shared" si="48"/>
        <v/>
      </c>
      <c r="X53" s="43">
        <f t="shared" si="49"/>
        <v>5</v>
      </c>
      <c r="Y53" s="85" t="e">
        <f>VLOOKUP(Z53,SegAWS[],HLOOKUP("AWS Name",SegAWS[],2,FALSE),FALSE)</f>
        <v>#N/A</v>
      </c>
      <c r="Z53" s="91" t="str">
        <f t="shared" si="50"/>
        <v>Data Error: Number of Lanes</v>
      </c>
      <c r="AA53" s="108" t="str">
        <f>IFERROR(VLOOKUP($Z53,SegAWS[],HLOOKUP("KABC Scaler",SegAWS[],2,FALSE),FALSE),"Data Error")</f>
        <v>Data Error</v>
      </c>
      <c r="AB53" s="44">
        <f t="shared" si="36"/>
        <v>0</v>
      </c>
      <c r="AC53" s="42" t="str">
        <f>IF($J53="","Data Error: Segment Length",
IF(VLOOKUP($Z53,SegAWS[],HLOOKUP("Equation Form",SegAWS[],2,FALSE),FALSE)="Form 1",(((VLOOKUP($Z53,SegAWS[],HLOOKUP("Form 1 Num",SegAWS[],2,FALSE),FALSE))/(1 + EXP(-((VLOOKUP($Z53,SegAWS[],HLOOKUP("Form 1 Exp Coeff",SegAWS[],2,FALSE),FALSE))*($K53-(VLOOKUP($Z53,SegAWS[],HLOOKUP("Form 1 AADT Coeff",SegAWS[],2,FALSE),FALSE)))))))+(VLOOKUP($Z53,SegAWS[],HLOOKUP("Form 1 End Factor",SegAWS[],2,FALSE),FALSE)))*$X53*$J53,
IF(VLOOKUP($Z53,SegAWS[],HLOOKUP("Equation Form",SegAWS[],2,FALSE),FALSE)="Form 2",(EXP((VLOOKUP($Z53,SegAWS[],HLOOKUP("Form 2 Exp Coeff",SegAWS[],2,FALSE),FALSE)))*($K53^(VLOOKUP($Z53,SegAWS[],HLOOKUP("Form 2 AADT Coeff",SegAWS[],2,FALSE),FALSE))))*$X53*$J53,"Data Error: SPF Lookup Name")))</f>
        <v>Data Error: Segment Length</v>
      </c>
      <c r="AD53" s="42" t="e">
        <f>((1/(1+VLOOKUP($Z53,SegAWS[],HLOOKUP("Dispersion Parameter",SegAWS[],2,FALSE),FALSE)*AC53))*AC53
+(1-1/(1+VLOOKUP($Z53,SegAWS[],HLOOKUP("Dispersion Parameter",SegAWS[],2,FALSE),FALSE)*AC53))*AB53)</f>
        <v>#N/A</v>
      </c>
      <c r="AE53" s="44">
        <f t="shared" si="37"/>
        <v>0</v>
      </c>
      <c r="AF53" s="42" t="e">
        <f t="shared" si="15"/>
        <v>#VALUE!</v>
      </c>
      <c r="AG53" s="41" t="e">
        <f>((1/(1+VLOOKUP($Z53,SegAWS[],HLOOKUP("Dispersion Parameter",SegAWS[],2,FALSE),FALSE)*AF53))*AF53
+(1-1/(1+VLOOKUP($Z53,SegAWS[],HLOOKUP("Dispersion Parameter",SegAWS[],2,FALSE),FALSE)*AF53))*AE53)</f>
        <v>#N/A</v>
      </c>
      <c r="AH53" s="101">
        <f t="shared" si="51"/>
        <v>0</v>
      </c>
      <c r="AI53" s="101" t="str">
        <f t="shared" si="38"/>
        <v>Missing Data</v>
      </c>
      <c r="AJ53" s="41" t="str">
        <f t="shared" si="39"/>
        <v>Missing Data</v>
      </c>
      <c r="AK53" s="101" t="str">
        <f t="shared" si="40"/>
        <v>Missing Data</v>
      </c>
      <c r="AL53" s="41" t="str">
        <f t="shared" si="41"/>
        <v>Missing Data</v>
      </c>
      <c r="AM53" s="44">
        <f t="shared" si="42"/>
        <v>0</v>
      </c>
      <c r="AN53" s="44">
        <f t="shared" si="43"/>
        <v>0</v>
      </c>
      <c r="AO53" s="60" t="str">
        <f t="shared" si="11"/>
        <v>Missing Data</v>
      </c>
      <c r="AP53" s="107"/>
      <c r="AQ53" s="107"/>
      <c r="AR53" s="41" t="e">
        <f>VLOOKUP($Z53,SegAWS[],HLOOKUP("Dispersion Parameter",SegAWS[],2,FALSE),FALSE)</f>
        <v>#N/A</v>
      </c>
      <c r="AS53" s="42" t="e">
        <f>VLOOKUP($Z53,SegAWS[],HLOOKUP("Dispersion Parameter",SegAWS[],2,FALSE),FALSE)</f>
        <v>#N/A</v>
      </c>
      <c r="AT53" s="41" t="e">
        <f t="shared" si="44"/>
        <v>#N/A</v>
      </c>
      <c r="AU53" s="41" t="e">
        <f t="shared" si="45"/>
        <v>#VALUE!</v>
      </c>
      <c r="AV53" s="41" t="e">
        <f t="shared" si="46"/>
        <v>#N/A</v>
      </c>
      <c r="AW53" s="41" t="e">
        <f t="shared" si="47"/>
        <v>#VALUE!</v>
      </c>
    </row>
    <row r="54" spans="1:49" x14ac:dyDescent="0.3">
      <c r="A54" s="110"/>
      <c r="B54" s="101"/>
      <c r="C54" s="101"/>
      <c r="D54" s="101"/>
      <c r="E54" s="101"/>
      <c r="F54" s="101"/>
      <c r="G54" s="101"/>
      <c r="H54" s="101"/>
      <c r="I54" s="44"/>
      <c r="J54" s="41"/>
      <c r="K54" s="44"/>
      <c r="L54" s="101"/>
      <c r="M54" s="101"/>
      <c r="N54" s="101"/>
      <c r="O54" s="44"/>
      <c r="P54" s="44"/>
      <c r="Q54" s="44"/>
      <c r="R54" s="44"/>
      <c r="S54" s="44"/>
      <c r="T54" s="44"/>
      <c r="U54" s="44"/>
      <c r="V54" s="44"/>
      <c r="W54" s="101" t="str">
        <f t="shared" si="48"/>
        <v/>
      </c>
      <c r="X54" s="43">
        <f t="shared" si="49"/>
        <v>5</v>
      </c>
      <c r="Y54" s="85" t="e">
        <f>VLOOKUP(Z54,SegAWS[],HLOOKUP("AWS Name",SegAWS[],2,FALSE),FALSE)</f>
        <v>#N/A</v>
      </c>
      <c r="Z54" s="91" t="str">
        <f t="shared" si="50"/>
        <v>Data Error: Number of Lanes</v>
      </c>
      <c r="AA54" s="108" t="str">
        <f>IFERROR(VLOOKUP($Z54,SegAWS[],HLOOKUP("KABC Scaler",SegAWS[],2,FALSE),FALSE),"Data Error")</f>
        <v>Data Error</v>
      </c>
      <c r="AB54" s="44">
        <f t="shared" si="36"/>
        <v>0</v>
      </c>
      <c r="AC54" s="42" t="str">
        <f>IF($J54="","Data Error: Segment Length",
IF(VLOOKUP($Z54,SegAWS[],HLOOKUP("Equation Form",SegAWS[],2,FALSE),FALSE)="Form 1",(((VLOOKUP($Z54,SegAWS[],HLOOKUP("Form 1 Num",SegAWS[],2,FALSE),FALSE))/(1 + EXP(-((VLOOKUP($Z54,SegAWS[],HLOOKUP("Form 1 Exp Coeff",SegAWS[],2,FALSE),FALSE))*($K54-(VLOOKUP($Z54,SegAWS[],HLOOKUP("Form 1 AADT Coeff",SegAWS[],2,FALSE),FALSE)))))))+(VLOOKUP($Z54,SegAWS[],HLOOKUP("Form 1 End Factor",SegAWS[],2,FALSE),FALSE)))*$X54*$J54,
IF(VLOOKUP($Z54,SegAWS[],HLOOKUP("Equation Form",SegAWS[],2,FALSE),FALSE)="Form 2",(EXP((VLOOKUP($Z54,SegAWS[],HLOOKUP("Form 2 Exp Coeff",SegAWS[],2,FALSE),FALSE)))*($K54^(VLOOKUP($Z54,SegAWS[],HLOOKUP("Form 2 AADT Coeff",SegAWS[],2,FALSE),FALSE))))*$X54*$J54,"Data Error: SPF Lookup Name")))</f>
        <v>Data Error: Segment Length</v>
      </c>
      <c r="AD54" s="42" t="e">
        <f>((1/(1+VLOOKUP($Z54,SegAWS[],HLOOKUP("Dispersion Parameter",SegAWS[],2,FALSE),FALSE)*AC54))*AC54
+(1-1/(1+VLOOKUP($Z54,SegAWS[],HLOOKUP("Dispersion Parameter",SegAWS[],2,FALSE),FALSE)*AC54))*AB54)</f>
        <v>#N/A</v>
      </c>
      <c r="AE54" s="44">
        <f t="shared" si="37"/>
        <v>0</v>
      </c>
      <c r="AF54" s="42" t="e">
        <f t="shared" si="15"/>
        <v>#VALUE!</v>
      </c>
      <c r="AG54" s="41" t="e">
        <f>((1/(1+VLOOKUP($Z54,SegAWS[],HLOOKUP("Dispersion Parameter",SegAWS[],2,FALSE),FALSE)*AF54))*AF54
+(1-1/(1+VLOOKUP($Z54,SegAWS[],HLOOKUP("Dispersion Parameter",SegAWS[],2,FALSE),FALSE)*AF54))*AE54)</f>
        <v>#N/A</v>
      </c>
      <c r="AH54" s="101">
        <f t="shared" si="51"/>
        <v>0</v>
      </c>
      <c r="AI54" s="101" t="str">
        <f t="shared" si="38"/>
        <v>Missing Data</v>
      </c>
      <c r="AJ54" s="41" t="str">
        <f t="shared" si="39"/>
        <v>Missing Data</v>
      </c>
      <c r="AK54" s="101" t="str">
        <f t="shared" si="40"/>
        <v>Missing Data</v>
      </c>
      <c r="AL54" s="41" t="str">
        <f t="shared" si="41"/>
        <v>Missing Data</v>
      </c>
      <c r="AM54" s="44">
        <f t="shared" si="42"/>
        <v>0</v>
      </c>
      <c r="AN54" s="44">
        <f t="shared" si="43"/>
        <v>0</v>
      </c>
      <c r="AO54" s="60" t="str">
        <f t="shared" si="11"/>
        <v>Missing Data</v>
      </c>
      <c r="AP54" s="107"/>
      <c r="AQ54" s="107"/>
      <c r="AR54" s="41" t="e">
        <f>VLOOKUP($Z54,SegAWS[],HLOOKUP("Dispersion Parameter",SegAWS[],2,FALSE),FALSE)</f>
        <v>#N/A</v>
      </c>
      <c r="AS54" s="42" t="e">
        <f>VLOOKUP($Z54,SegAWS[],HLOOKUP("Dispersion Parameter",SegAWS[],2,FALSE),FALSE)</f>
        <v>#N/A</v>
      </c>
      <c r="AT54" s="41" t="e">
        <f t="shared" si="44"/>
        <v>#N/A</v>
      </c>
      <c r="AU54" s="41" t="e">
        <f t="shared" si="45"/>
        <v>#VALUE!</v>
      </c>
      <c r="AV54" s="41" t="e">
        <f t="shared" si="46"/>
        <v>#N/A</v>
      </c>
      <c r="AW54" s="41" t="e">
        <f t="shared" si="47"/>
        <v>#VALUE!</v>
      </c>
    </row>
    <row r="55" spans="1:49" x14ac:dyDescent="0.3">
      <c r="A55" s="110"/>
      <c r="B55" s="101"/>
      <c r="C55" s="101"/>
      <c r="D55" s="101"/>
      <c r="E55" s="101"/>
      <c r="F55" s="101"/>
      <c r="G55" s="101"/>
      <c r="H55" s="101"/>
      <c r="I55" s="44"/>
      <c r="J55" s="41"/>
      <c r="K55" s="44"/>
      <c r="L55" s="101"/>
      <c r="M55" s="101"/>
      <c r="N55" s="101"/>
      <c r="O55" s="44"/>
      <c r="P55" s="44"/>
      <c r="Q55" s="44"/>
      <c r="R55" s="44"/>
      <c r="S55" s="44"/>
      <c r="T55" s="44"/>
      <c r="U55" s="44"/>
      <c r="V55" s="44"/>
      <c r="W55" s="101" t="str">
        <f t="shared" si="48"/>
        <v/>
      </c>
      <c r="X55" s="43">
        <f t="shared" si="49"/>
        <v>5</v>
      </c>
      <c r="Y55" s="85" t="e">
        <f>VLOOKUP(Z55,SegAWS[],HLOOKUP("AWS Name",SegAWS[],2,FALSE),FALSE)</f>
        <v>#N/A</v>
      </c>
      <c r="Z55" s="91" t="str">
        <f t="shared" si="50"/>
        <v>Data Error: Number of Lanes</v>
      </c>
      <c r="AA55" s="108" t="str">
        <f>IFERROR(VLOOKUP($Z55,SegAWS[],HLOOKUP("KABC Scaler",SegAWS[],2,FALSE),FALSE),"Data Error")</f>
        <v>Data Error</v>
      </c>
      <c r="AB55" s="44">
        <f t="shared" si="36"/>
        <v>0</v>
      </c>
      <c r="AC55" s="42" t="str">
        <f>IF($J55="","Data Error: Segment Length",
IF(VLOOKUP($Z55,SegAWS[],HLOOKUP("Equation Form",SegAWS[],2,FALSE),FALSE)="Form 1",(((VLOOKUP($Z55,SegAWS[],HLOOKUP("Form 1 Num",SegAWS[],2,FALSE),FALSE))/(1 + EXP(-((VLOOKUP($Z55,SegAWS[],HLOOKUP("Form 1 Exp Coeff",SegAWS[],2,FALSE),FALSE))*($K55-(VLOOKUP($Z55,SegAWS[],HLOOKUP("Form 1 AADT Coeff",SegAWS[],2,FALSE),FALSE)))))))+(VLOOKUP($Z55,SegAWS[],HLOOKUP("Form 1 End Factor",SegAWS[],2,FALSE),FALSE)))*$X55*$J55,
IF(VLOOKUP($Z55,SegAWS[],HLOOKUP("Equation Form",SegAWS[],2,FALSE),FALSE)="Form 2",(EXP((VLOOKUP($Z55,SegAWS[],HLOOKUP("Form 2 Exp Coeff",SegAWS[],2,FALSE),FALSE)))*($K55^(VLOOKUP($Z55,SegAWS[],HLOOKUP("Form 2 AADT Coeff",SegAWS[],2,FALSE),FALSE))))*$X55*$J55,"Data Error: SPF Lookup Name")))</f>
        <v>Data Error: Segment Length</v>
      </c>
      <c r="AD55" s="42" t="e">
        <f>((1/(1+VLOOKUP($Z55,SegAWS[],HLOOKUP("Dispersion Parameter",SegAWS[],2,FALSE),FALSE)*AC55))*AC55
+(1-1/(1+VLOOKUP($Z55,SegAWS[],HLOOKUP("Dispersion Parameter",SegAWS[],2,FALSE),FALSE)*AC55))*AB55)</f>
        <v>#N/A</v>
      </c>
      <c r="AE55" s="44">
        <f t="shared" si="37"/>
        <v>0</v>
      </c>
      <c r="AF55" s="42" t="e">
        <f t="shared" si="15"/>
        <v>#VALUE!</v>
      </c>
      <c r="AG55" s="41" t="e">
        <f>((1/(1+VLOOKUP($Z55,SegAWS[],HLOOKUP("Dispersion Parameter",SegAWS[],2,FALSE),FALSE)*AF55))*AF55
+(1-1/(1+VLOOKUP($Z55,SegAWS[],HLOOKUP("Dispersion Parameter",SegAWS[],2,FALSE),FALSE)*AF55))*AE55)</f>
        <v>#N/A</v>
      </c>
      <c r="AH55" s="101">
        <f t="shared" si="51"/>
        <v>0</v>
      </c>
      <c r="AI55" s="101" t="str">
        <f t="shared" si="38"/>
        <v>Missing Data</v>
      </c>
      <c r="AJ55" s="41" t="str">
        <f t="shared" si="39"/>
        <v>Missing Data</v>
      </c>
      <c r="AK55" s="101" t="str">
        <f t="shared" si="40"/>
        <v>Missing Data</v>
      </c>
      <c r="AL55" s="41" t="str">
        <f t="shared" si="41"/>
        <v>Missing Data</v>
      </c>
      <c r="AM55" s="44">
        <f t="shared" si="42"/>
        <v>0</v>
      </c>
      <c r="AN55" s="44">
        <f t="shared" si="43"/>
        <v>0</v>
      </c>
      <c r="AO55" s="60" t="str">
        <f t="shared" si="11"/>
        <v>Missing Data</v>
      </c>
      <c r="AP55" s="107"/>
      <c r="AQ55" s="107"/>
      <c r="AR55" s="41" t="e">
        <f>VLOOKUP($Z55,SegAWS[],HLOOKUP("Dispersion Parameter",SegAWS[],2,FALSE),FALSE)</f>
        <v>#N/A</v>
      </c>
      <c r="AS55" s="42" t="e">
        <f>VLOOKUP($Z55,SegAWS[],HLOOKUP("Dispersion Parameter",SegAWS[],2,FALSE),FALSE)</f>
        <v>#N/A</v>
      </c>
      <c r="AT55" s="41" t="e">
        <f t="shared" si="44"/>
        <v>#N/A</v>
      </c>
      <c r="AU55" s="41" t="e">
        <f t="shared" si="45"/>
        <v>#VALUE!</v>
      </c>
      <c r="AV55" s="41" t="e">
        <f t="shared" si="46"/>
        <v>#N/A</v>
      </c>
      <c r="AW55" s="41" t="e">
        <f t="shared" si="47"/>
        <v>#VALUE!</v>
      </c>
    </row>
    <row r="56" spans="1:49" x14ac:dyDescent="0.3">
      <c r="A56" s="110"/>
      <c r="B56" s="101"/>
      <c r="C56" s="101"/>
      <c r="D56" s="101"/>
      <c r="E56" s="101"/>
      <c r="F56" s="101"/>
      <c r="G56" s="101"/>
      <c r="H56" s="101"/>
      <c r="I56" s="44"/>
      <c r="J56" s="41"/>
      <c r="K56" s="44"/>
      <c r="L56" s="101"/>
      <c r="M56" s="101"/>
      <c r="N56" s="101"/>
      <c r="O56" s="44"/>
      <c r="P56" s="44"/>
      <c r="Q56" s="44"/>
      <c r="R56" s="44"/>
      <c r="S56" s="44"/>
      <c r="T56" s="44"/>
      <c r="U56" s="44"/>
      <c r="V56" s="44"/>
      <c r="W56" s="101" t="str">
        <f t="shared" si="48"/>
        <v/>
      </c>
      <c r="X56" s="43">
        <f t="shared" si="49"/>
        <v>5</v>
      </c>
      <c r="Y56" s="85" t="e">
        <f>VLOOKUP(Z56,SegAWS[],HLOOKUP("AWS Name",SegAWS[],2,FALSE),FALSE)</f>
        <v>#N/A</v>
      </c>
      <c r="Z56" s="91" t="str">
        <f t="shared" si="50"/>
        <v>Data Error: Number of Lanes</v>
      </c>
      <c r="AA56" s="108" t="str">
        <f>IFERROR(VLOOKUP($Z56,SegAWS[],HLOOKUP("KABC Scaler",SegAWS[],2,FALSE),FALSE),"Data Error")</f>
        <v>Data Error</v>
      </c>
      <c r="AB56" s="44">
        <f t="shared" si="36"/>
        <v>0</v>
      </c>
      <c r="AC56" s="42" t="str">
        <f>IF($J56="","Data Error: Segment Length",
IF(VLOOKUP($Z56,SegAWS[],HLOOKUP("Equation Form",SegAWS[],2,FALSE),FALSE)="Form 1",(((VLOOKUP($Z56,SegAWS[],HLOOKUP("Form 1 Num",SegAWS[],2,FALSE),FALSE))/(1 + EXP(-((VLOOKUP($Z56,SegAWS[],HLOOKUP("Form 1 Exp Coeff",SegAWS[],2,FALSE),FALSE))*($K56-(VLOOKUP($Z56,SegAWS[],HLOOKUP("Form 1 AADT Coeff",SegAWS[],2,FALSE),FALSE)))))))+(VLOOKUP($Z56,SegAWS[],HLOOKUP("Form 1 End Factor",SegAWS[],2,FALSE),FALSE)))*$X56*$J56,
IF(VLOOKUP($Z56,SegAWS[],HLOOKUP("Equation Form",SegAWS[],2,FALSE),FALSE)="Form 2",(EXP((VLOOKUP($Z56,SegAWS[],HLOOKUP("Form 2 Exp Coeff",SegAWS[],2,FALSE),FALSE)))*($K56^(VLOOKUP($Z56,SegAWS[],HLOOKUP("Form 2 AADT Coeff",SegAWS[],2,FALSE),FALSE))))*$X56*$J56,"Data Error: SPF Lookup Name")))</f>
        <v>Data Error: Segment Length</v>
      </c>
      <c r="AD56" s="42" t="e">
        <f>((1/(1+VLOOKUP($Z56,SegAWS[],HLOOKUP("Dispersion Parameter",SegAWS[],2,FALSE),FALSE)*AC56))*AC56
+(1-1/(1+VLOOKUP($Z56,SegAWS[],HLOOKUP("Dispersion Parameter",SegAWS[],2,FALSE),FALSE)*AC56))*AB56)</f>
        <v>#N/A</v>
      </c>
      <c r="AE56" s="44">
        <f t="shared" si="37"/>
        <v>0</v>
      </c>
      <c r="AF56" s="42" t="e">
        <f t="shared" si="15"/>
        <v>#VALUE!</v>
      </c>
      <c r="AG56" s="41" t="e">
        <f>((1/(1+VLOOKUP($Z56,SegAWS[],HLOOKUP("Dispersion Parameter",SegAWS[],2,FALSE),FALSE)*AF56))*AF56
+(1-1/(1+VLOOKUP($Z56,SegAWS[],HLOOKUP("Dispersion Parameter",SegAWS[],2,FALSE),FALSE)*AF56))*AE56)</f>
        <v>#N/A</v>
      </c>
      <c r="AH56" s="101">
        <f t="shared" si="51"/>
        <v>0</v>
      </c>
      <c r="AI56" s="101" t="str">
        <f t="shared" si="38"/>
        <v>Missing Data</v>
      </c>
      <c r="AJ56" s="41" t="str">
        <f t="shared" si="39"/>
        <v>Missing Data</v>
      </c>
      <c r="AK56" s="101" t="str">
        <f t="shared" si="40"/>
        <v>Missing Data</v>
      </c>
      <c r="AL56" s="41" t="str">
        <f t="shared" si="41"/>
        <v>Missing Data</v>
      </c>
      <c r="AM56" s="44">
        <f t="shared" si="42"/>
        <v>0</v>
      </c>
      <c r="AN56" s="44">
        <f t="shared" si="43"/>
        <v>0</v>
      </c>
      <c r="AO56" s="60" t="str">
        <f t="shared" si="11"/>
        <v>Missing Data</v>
      </c>
      <c r="AP56" s="107"/>
      <c r="AQ56" s="107"/>
      <c r="AR56" s="41" t="e">
        <f>VLOOKUP($Z56,SegAWS[],HLOOKUP("Dispersion Parameter",SegAWS[],2,FALSE),FALSE)</f>
        <v>#N/A</v>
      </c>
      <c r="AS56" s="42" t="e">
        <f>VLOOKUP($Z56,SegAWS[],HLOOKUP("Dispersion Parameter",SegAWS[],2,FALSE),FALSE)</f>
        <v>#N/A</v>
      </c>
      <c r="AT56" s="41" t="e">
        <f t="shared" si="44"/>
        <v>#N/A</v>
      </c>
      <c r="AU56" s="41" t="e">
        <f t="shared" si="45"/>
        <v>#VALUE!</v>
      </c>
      <c r="AV56" s="41" t="e">
        <f t="shared" si="46"/>
        <v>#N/A</v>
      </c>
      <c r="AW56" s="41" t="e">
        <f t="shared" si="47"/>
        <v>#VALUE!</v>
      </c>
    </row>
    <row r="57" spans="1:49" x14ac:dyDescent="0.3">
      <c r="A57" s="110"/>
      <c r="B57" s="101"/>
      <c r="C57" s="101"/>
      <c r="D57" s="101"/>
      <c r="E57" s="101"/>
      <c r="F57" s="101"/>
      <c r="G57" s="101"/>
      <c r="H57" s="101"/>
      <c r="I57" s="44"/>
      <c r="J57" s="41"/>
      <c r="K57" s="44"/>
      <c r="L57" s="101"/>
      <c r="M57" s="101"/>
      <c r="N57" s="101"/>
      <c r="O57" s="44"/>
      <c r="P57" s="44"/>
      <c r="Q57" s="44"/>
      <c r="R57" s="44"/>
      <c r="S57" s="44"/>
      <c r="T57" s="44"/>
      <c r="U57" s="44"/>
      <c r="V57" s="44"/>
      <c r="W57" s="101" t="str">
        <f t="shared" si="48"/>
        <v/>
      </c>
      <c r="X57" s="43">
        <f t="shared" si="49"/>
        <v>5</v>
      </c>
      <c r="Y57" s="85" t="e">
        <f>VLOOKUP(Z57,SegAWS[],HLOOKUP("AWS Name",SegAWS[],2,FALSE),FALSE)</f>
        <v>#N/A</v>
      </c>
      <c r="Z57" s="91" t="str">
        <f t="shared" si="50"/>
        <v>Data Error: Number of Lanes</v>
      </c>
      <c r="AA57" s="108" t="str">
        <f>IFERROR(VLOOKUP($Z57,SegAWS[],HLOOKUP("KABC Scaler",SegAWS[],2,FALSE),FALSE),"Data Error")</f>
        <v>Data Error</v>
      </c>
      <c r="AB57" s="44">
        <f t="shared" si="36"/>
        <v>0</v>
      </c>
      <c r="AC57" s="42" t="str">
        <f>IF($J57="","Data Error: Segment Length",
IF(VLOOKUP($Z57,SegAWS[],HLOOKUP("Equation Form",SegAWS[],2,FALSE),FALSE)="Form 1",(((VLOOKUP($Z57,SegAWS[],HLOOKUP("Form 1 Num",SegAWS[],2,FALSE),FALSE))/(1 + EXP(-((VLOOKUP($Z57,SegAWS[],HLOOKUP("Form 1 Exp Coeff",SegAWS[],2,FALSE),FALSE))*($K57-(VLOOKUP($Z57,SegAWS[],HLOOKUP("Form 1 AADT Coeff",SegAWS[],2,FALSE),FALSE)))))))+(VLOOKUP($Z57,SegAWS[],HLOOKUP("Form 1 End Factor",SegAWS[],2,FALSE),FALSE)))*$X57*$J57,
IF(VLOOKUP($Z57,SegAWS[],HLOOKUP("Equation Form",SegAWS[],2,FALSE),FALSE)="Form 2",(EXP((VLOOKUP($Z57,SegAWS[],HLOOKUP("Form 2 Exp Coeff",SegAWS[],2,FALSE),FALSE)))*($K57^(VLOOKUP($Z57,SegAWS[],HLOOKUP("Form 2 AADT Coeff",SegAWS[],2,FALSE),FALSE))))*$X57*$J57,"Data Error: SPF Lookup Name")))</f>
        <v>Data Error: Segment Length</v>
      </c>
      <c r="AD57" s="42" t="e">
        <f>((1/(1+VLOOKUP($Z57,SegAWS[],HLOOKUP("Dispersion Parameter",SegAWS[],2,FALSE),FALSE)*AC57))*AC57
+(1-1/(1+VLOOKUP($Z57,SegAWS[],HLOOKUP("Dispersion Parameter",SegAWS[],2,FALSE),FALSE)*AC57))*AB57)</f>
        <v>#N/A</v>
      </c>
      <c r="AE57" s="44">
        <f t="shared" si="37"/>
        <v>0</v>
      </c>
      <c r="AF57" s="42" t="e">
        <f t="shared" si="15"/>
        <v>#VALUE!</v>
      </c>
      <c r="AG57" s="41" t="e">
        <f>((1/(1+VLOOKUP($Z57,SegAWS[],HLOOKUP("Dispersion Parameter",SegAWS[],2,FALSE),FALSE)*AF57))*AF57
+(1-1/(1+VLOOKUP($Z57,SegAWS[],HLOOKUP("Dispersion Parameter",SegAWS[],2,FALSE),FALSE)*AF57))*AE57)</f>
        <v>#N/A</v>
      </c>
      <c r="AH57" s="101">
        <f t="shared" si="51"/>
        <v>0</v>
      </c>
      <c r="AI57" s="101" t="str">
        <f t="shared" si="38"/>
        <v>Missing Data</v>
      </c>
      <c r="AJ57" s="41" t="str">
        <f t="shared" si="39"/>
        <v>Missing Data</v>
      </c>
      <c r="AK57" s="101" t="str">
        <f t="shared" si="40"/>
        <v>Missing Data</v>
      </c>
      <c r="AL57" s="41" t="str">
        <f t="shared" si="41"/>
        <v>Missing Data</v>
      </c>
      <c r="AM57" s="44">
        <f t="shared" si="42"/>
        <v>0</v>
      </c>
      <c r="AN57" s="44">
        <f t="shared" si="43"/>
        <v>0</v>
      </c>
      <c r="AO57" s="60" t="str">
        <f t="shared" si="11"/>
        <v>Missing Data</v>
      </c>
      <c r="AP57" s="107"/>
      <c r="AQ57" s="107"/>
      <c r="AR57" s="41" t="e">
        <f>VLOOKUP($Z57,SegAWS[],HLOOKUP("Dispersion Parameter",SegAWS[],2,FALSE),FALSE)</f>
        <v>#N/A</v>
      </c>
      <c r="AS57" s="42" t="e">
        <f>VLOOKUP($Z57,SegAWS[],HLOOKUP("Dispersion Parameter",SegAWS[],2,FALSE),FALSE)</f>
        <v>#N/A</v>
      </c>
      <c r="AT57" s="41" t="e">
        <f t="shared" si="44"/>
        <v>#N/A</v>
      </c>
      <c r="AU57" s="41" t="e">
        <f t="shared" si="45"/>
        <v>#VALUE!</v>
      </c>
      <c r="AV57" s="41" t="e">
        <f t="shared" si="46"/>
        <v>#N/A</v>
      </c>
      <c r="AW57" s="41" t="e">
        <f t="shared" si="47"/>
        <v>#VALUE!</v>
      </c>
    </row>
    <row r="58" spans="1:49" x14ac:dyDescent="0.3">
      <c r="A58" s="110"/>
      <c r="B58" s="101"/>
      <c r="C58" s="101"/>
      <c r="D58" s="101"/>
      <c r="E58" s="101"/>
      <c r="F58" s="101"/>
      <c r="G58" s="101"/>
      <c r="H58" s="101"/>
      <c r="I58" s="44"/>
      <c r="J58" s="41"/>
      <c r="K58" s="44"/>
      <c r="L58" s="101"/>
      <c r="M58" s="101"/>
      <c r="N58" s="101"/>
      <c r="O58" s="44"/>
      <c r="P58" s="44"/>
      <c r="Q58" s="44"/>
      <c r="R58" s="44"/>
      <c r="S58" s="44"/>
      <c r="T58" s="44"/>
      <c r="U58" s="44"/>
      <c r="V58" s="44"/>
      <c r="W58" s="101" t="str">
        <f t="shared" si="48"/>
        <v/>
      </c>
      <c r="X58" s="43">
        <f t="shared" si="49"/>
        <v>5</v>
      </c>
      <c r="Y58" s="85" t="e">
        <f>VLOOKUP(Z58,SegAWS[],HLOOKUP("AWS Name",SegAWS[],2,FALSE),FALSE)</f>
        <v>#N/A</v>
      </c>
      <c r="Z58" s="91" t="str">
        <f t="shared" si="50"/>
        <v>Data Error: Number of Lanes</v>
      </c>
      <c r="AA58" s="108" t="str">
        <f>IFERROR(VLOOKUP($Z58,SegAWS[],HLOOKUP("KABC Scaler",SegAWS[],2,FALSE),FALSE),"Data Error")</f>
        <v>Data Error</v>
      </c>
      <c r="AB58" s="44">
        <f t="shared" si="36"/>
        <v>0</v>
      </c>
      <c r="AC58" s="42" t="str">
        <f>IF($J58="","Data Error: Segment Length",
IF(VLOOKUP($Z58,SegAWS[],HLOOKUP("Equation Form",SegAWS[],2,FALSE),FALSE)="Form 1",(((VLOOKUP($Z58,SegAWS[],HLOOKUP("Form 1 Num",SegAWS[],2,FALSE),FALSE))/(1 + EXP(-((VLOOKUP($Z58,SegAWS[],HLOOKUP("Form 1 Exp Coeff",SegAWS[],2,FALSE),FALSE))*($K58-(VLOOKUP($Z58,SegAWS[],HLOOKUP("Form 1 AADT Coeff",SegAWS[],2,FALSE),FALSE)))))))+(VLOOKUP($Z58,SegAWS[],HLOOKUP("Form 1 End Factor",SegAWS[],2,FALSE),FALSE)))*$X58*$J58,
IF(VLOOKUP($Z58,SegAWS[],HLOOKUP("Equation Form",SegAWS[],2,FALSE),FALSE)="Form 2",(EXP((VLOOKUP($Z58,SegAWS[],HLOOKUP("Form 2 Exp Coeff",SegAWS[],2,FALSE),FALSE)))*($K58^(VLOOKUP($Z58,SegAWS[],HLOOKUP("Form 2 AADT Coeff",SegAWS[],2,FALSE),FALSE))))*$X58*$J58,"Data Error: SPF Lookup Name")))</f>
        <v>Data Error: Segment Length</v>
      </c>
      <c r="AD58" s="42" t="e">
        <f>((1/(1+VLOOKUP($Z58,SegAWS[],HLOOKUP("Dispersion Parameter",SegAWS[],2,FALSE),FALSE)*AC58))*AC58
+(1-1/(1+VLOOKUP($Z58,SegAWS[],HLOOKUP("Dispersion Parameter",SegAWS[],2,FALSE),FALSE)*AC58))*AB58)</f>
        <v>#N/A</v>
      </c>
      <c r="AE58" s="44">
        <f t="shared" si="37"/>
        <v>0</v>
      </c>
      <c r="AF58" s="42" t="e">
        <f t="shared" si="15"/>
        <v>#VALUE!</v>
      </c>
      <c r="AG58" s="41" t="e">
        <f>((1/(1+VLOOKUP($Z58,SegAWS[],HLOOKUP("Dispersion Parameter",SegAWS[],2,FALSE),FALSE)*AF58))*AF58
+(1-1/(1+VLOOKUP($Z58,SegAWS[],HLOOKUP("Dispersion Parameter",SegAWS[],2,FALSE),FALSE)*AF58))*AE58)</f>
        <v>#N/A</v>
      </c>
      <c r="AH58" s="101">
        <f t="shared" si="51"/>
        <v>0</v>
      </c>
      <c r="AI58" s="101" t="str">
        <f t="shared" si="38"/>
        <v>Missing Data</v>
      </c>
      <c r="AJ58" s="41" t="str">
        <f t="shared" si="39"/>
        <v>Missing Data</v>
      </c>
      <c r="AK58" s="101" t="str">
        <f t="shared" si="40"/>
        <v>Missing Data</v>
      </c>
      <c r="AL58" s="41" t="str">
        <f t="shared" si="41"/>
        <v>Missing Data</v>
      </c>
      <c r="AM58" s="44">
        <f t="shared" si="42"/>
        <v>0</v>
      </c>
      <c r="AN58" s="44">
        <f t="shared" si="43"/>
        <v>0</v>
      </c>
      <c r="AO58" s="60" t="str">
        <f t="shared" si="11"/>
        <v>Missing Data</v>
      </c>
      <c r="AP58" s="107"/>
      <c r="AQ58" s="107"/>
      <c r="AR58" s="41" t="e">
        <f>VLOOKUP($Z58,SegAWS[],HLOOKUP("Dispersion Parameter",SegAWS[],2,FALSE),FALSE)</f>
        <v>#N/A</v>
      </c>
      <c r="AS58" s="42" t="e">
        <f>VLOOKUP($Z58,SegAWS[],HLOOKUP("Dispersion Parameter",SegAWS[],2,FALSE),FALSE)</f>
        <v>#N/A</v>
      </c>
      <c r="AT58" s="41" t="e">
        <f t="shared" si="44"/>
        <v>#N/A</v>
      </c>
      <c r="AU58" s="41" t="e">
        <f t="shared" si="45"/>
        <v>#VALUE!</v>
      </c>
      <c r="AV58" s="41" t="e">
        <f t="shared" si="46"/>
        <v>#N/A</v>
      </c>
      <c r="AW58" s="41" t="e">
        <f t="shared" si="47"/>
        <v>#VALUE!</v>
      </c>
    </row>
    <row r="59" spans="1:49" x14ac:dyDescent="0.3">
      <c r="A59" s="110"/>
      <c r="B59" s="101"/>
      <c r="C59" s="101"/>
      <c r="D59" s="101"/>
      <c r="E59" s="101"/>
      <c r="F59" s="101"/>
      <c r="G59" s="101"/>
      <c r="H59" s="101"/>
      <c r="I59" s="44"/>
      <c r="J59" s="41"/>
      <c r="K59" s="44"/>
      <c r="L59" s="101"/>
      <c r="M59" s="101"/>
      <c r="N59" s="101"/>
      <c r="O59" s="44"/>
      <c r="P59" s="44"/>
      <c r="Q59" s="44"/>
      <c r="R59" s="44"/>
      <c r="S59" s="44"/>
      <c r="T59" s="44"/>
      <c r="U59" s="44"/>
      <c r="V59" s="44"/>
      <c r="W59" s="101" t="str">
        <f t="shared" si="48"/>
        <v/>
      </c>
      <c r="X59" s="43">
        <f t="shared" si="49"/>
        <v>5</v>
      </c>
      <c r="Y59" s="85" t="e">
        <f>VLOOKUP(Z59,SegAWS[],HLOOKUP("AWS Name",SegAWS[],2,FALSE),FALSE)</f>
        <v>#N/A</v>
      </c>
      <c r="Z59" s="91" t="str">
        <f t="shared" si="50"/>
        <v>Data Error: Number of Lanes</v>
      </c>
      <c r="AA59" s="108" t="str">
        <f>IFERROR(VLOOKUP($Z59,SegAWS[],HLOOKUP("KABC Scaler",SegAWS[],2,FALSE),FALSE),"Data Error")</f>
        <v>Data Error</v>
      </c>
      <c r="AB59" s="44">
        <f t="shared" si="36"/>
        <v>0</v>
      </c>
      <c r="AC59" s="42" t="str">
        <f>IF($J59="","Data Error: Segment Length",
IF(VLOOKUP($Z59,SegAWS[],HLOOKUP("Equation Form",SegAWS[],2,FALSE),FALSE)="Form 1",(((VLOOKUP($Z59,SegAWS[],HLOOKUP("Form 1 Num",SegAWS[],2,FALSE),FALSE))/(1 + EXP(-((VLOOKUP($Z59,SegAWS[],HLOOKUP("Form 1 Exp Coeff",SegAWS[],2,FALSE),FALSE))*($K59-(VLOOKUP($Z59,SegAWS[],HLOOKUP("Form 1 AADT Coeff",SegAWS[],2,FALSE),FALSE)))))))+(VLOOKUP($Z59,SegAWS[],HLOOKUP("Form 1 End Factor",SegAWS[],2,FALSE),FALSE)))*$X59*$J59,
IF(VLOOKUP($Z59,SegAWS[],HLOOKUP("Equation Form",SegAWS[],2,FALSE),FALSE)="Form 2",(EXP((VLOOKUP($Z59,SegAWS[],HLOOKUP("Form 2 Exp Coeff",SegAWS[],2,FALSE),FALSE)))*($K59^(VLOOKUP($Z59,SegAWS[],HLOOKUP("Form 2 AADT Coeff",SegAWS[],2,FALSE),FALSE))))*$X59*$J59,"Data Error: SPF Lookup Name")))</f>
        <v>Data Error: Segment Length</v>
      </c>
      <c r="AD59" s="42" t="e">
        <f>((1/(1+VLOOKUP($Z59,SegAWS[],HLOOKUP("Dispersion Parameter",SegAWS[],2,FALSE),FALSE)*AC59))*AC59
+(1-1/(1+VLOOKUP($Z59,SegAWS[],HLOOKUP("Dispersion Parameter",SegAWS[],2,FALSE),FALSE)*AC59))*AB59)</f>
        <v>#N/A</v>
      </c>
      <c r="AE59" s="44">
        <f t="shared" si="37"/>
        <v>0</v>
      </c>
      <c r="AF59" s="42" t="e">
        <f t="shared" si="15"/>
        <v>#VALUE!</v>
      </c>
      <c r="AG59" s="41" t="e">
        <f>((1/(1+VLOOKUP($Z59,SegAWS[],HLOOKUP("Dispersion Parameter",SegAWS[],2,FALSE),FALSE)*AF59))*AF59
+(1-1/(1+VLOOKUP($Z59,SegAWS[],HLOOKUP("Dispersion Parameter",SegAWS[],2,FALSE),FALSE)*AF59))*AE59)</f>
        <v>#N/A</v>
      </c>
      <c r="AH59" s="101">
        <f t="shared" si="51"/>
        <v>0</v>
      </c>
      <c r="AI59" s="101" t="str">
        <f t="shared" si="38"/>
        <v>Missing Data</v>
      </c>
      <c r="AJ59" s="41" t="str">
        <f t="shared" si="39"/>
        <v>Missing Data</v>
      </c>
      <c r="AK59" s="101" t="str">
        <f t="shared" si="40"/>
        <v>Missing Data</v>
      </c>
      <c r="AL59" s="41" t="str">
        <f t="shared" si="41"/>
        <v>Missing Data</v>
      </c>
      <c r="AM59" s="44">
        <f t="shared" si="42"/>
        <v>0</v>
      </c>
      <c r="AN59" s="44">
        <f t="shared" si="43"/>
        <v>0</v>
      </c>
      <c r="AO59" s="60" t="str">
        <f t="shared" si="11"/>
        <v>Missing Data</v>
      </c>
      <c r="AP59" s="107"/>
      <c r="AQ59" s="107"/>
      <c r="AR59" s="41" t="e">
        <f>VLOOKUP($Z59,SegAWS[],HLOOKUP("Dispersion Parameter",SegAWS[],2,FALSE),FALSE)</f>
        <v>#N/A</v>
      </c>
      <c r="AS59" s="42" t="e">
        <f>VLOOKUP($Z59,SegAWS[],HLOOKUP("Dispersion Parameter",SegAWS[],2,FALSE),FALSE)</f>
        <v>#N/A</v>
      </c>
      <c r="AT59" s="41" t="e">
        <f t="shared" si="44"/>
        <v>#N/A</v>
      </c>
      <c r="AU59" s="41" t="e">
        <f t="shared" si="45"/>
        <v>#VALUE!</v>
      </c>
      <c r="AV59" s="41" t="e">
        <f t="shared" si="46"/>
        <v>#N/A</v>
      </c>
      <c r="AW59" s="41" t="e">
        <f t="shared" si="47"/>
        <v>#VALUE!</v>
      </c>
    </row>
    <row r="60" spans="1:49" x14ac:dyDescent="0.3">
      <c r="A60" s="110"/>
      <c r="B60" s="101"/>
      <c r="C60" s="101"/>
      <c r="D60" s="101"/>
      <c r="E60" s="101"/>
      <c r="F60" s="101"/>
      <c r="G60" s="101"/>
      <c r="H60" s="101"/>
      <c r="I60" s="44"/>
      <c r="J60" s="41"/>
      <c r="K60" s="44"/>
      <c r="L60" s="101"/>
      <c r="M60" s="101"/>
      <c r="N60" s="101"/>
      <c r="O60" s="44"/>
      <c r="P60" s="44"/>
      <c r="Q60" s="44"/>
      <c r="R60" s="44"/>
      <c r="S60" s="44"/>
      <c r="T60" s="44"/>
      <c r="U60" s="44"/>
      <c r="V60" s="44"/>
      <c r="W60" s="101" t="str">
        <f t="shared" si="48"/>
        <v/>
      </c>
      <c r="X60" s="43">
        <f t="shared" si="49"/>
        <v>5</v>
      </c>
      <c r="Y60" s="85" t="e">
        <f>VLOOKUP(Z60,SegAWS[],HLOOKUP("AWS Name",SegAWS[],2,FALSE),FALSE)</f>
        <v>#N/A</v>
      </c>
      <c r="Z60" s="91" t="str">
        <f t="shared" si="50"/>
        <v>Data Error: Number of Lanes</v>
      </c>
      <c r="AA60" s="108" t="str">
        <f>IFERROR(VLOOKUP($Z60,SegAWS[],HLOOKUP("KABC Scaler",SegAWS[],2,FALSE),FALSE),"Data Error")</f>
        <v>Data Error</v>
      </c>
      <c r="AB60" s="44">
        <f t="shared" si="36"/>
        <v>0</v>
      </c>
      <c r="AC60" s="42" t="str">
        <f>IF($J60="","Data Error: Segment Length",
IF(VLOOKUP($Z60,SegAWS[],HLOOKUP("Equation Form",SegAWS[],2,FALSE),FALSE)="Form 1",(((VLOOKUP($Z60,SegAWS[],HLOOKUP("Form 1 Num",SegAWS[],2,FALSE),FALSE))/(1 + EXP(-((VLOOKUP($Z60,SegAWS[],HLOOKUP("Form 1 Exp Coeff",SegAWS[],2,FALSE),FALSE))*($K60-(VLOOKUP($Z60,SegAWS[],HLOOKUP("Form 1 AADT Coeff",SegAWS[],2,FALSE),FALSE)))))))+(VLOOKUP($Z60,SegAWS[],HLOOKUP("Form 1 End Factor",SegAWS[],2,FALSE),FALSE)))*$X60*$J60,
IF(VLOOKUP($Z60,SegAWS[],HLOOKUP("Equation Form",SegAWS[],2,FALSE),FALSE)="Form 2",(EXP((VLOOKUP($Z60,SegAWS[],HLOOKUP("Form 2 Exp Coeff",SegAWS[],2,FALSE),FALSE)))*($K60^(VLOOKUP($Z60,SegAWS[],HLOOKUP("Form 2 AADT Coeff",SegAWS[],2,FALSE),FALSE))))*$X60*$J60,"Data Error: SPF Lookup Name")))</f>
        <v>Data Error: Segment Length</v>
      </c>
      <c r="AD60" s="42" t="e">
        <f>((1/(1+VLOOKUP($Z60,SegAWS[],HLOOKUP("Dispersion Parameter",SegAWS[],2,FALSE),FALSE)*AC60))*AC60
+(1-1/(1+VLOOKUP($Z60,SegAWS[],HLOOKUP("Dispersion Parameter",SegAWS[],2,FALSE),FALSE)*AC60))*AB60)</f>
        <v>#N/A</v>
      </c>
      <c r="AE60" s="44">
        <f t="shared" si="37"/>
        <v>0</v>
      </c>
      <c r="AF60" s="42" t="e">
        <f t="shared" si="15"/>
        <v>#VALUE!</v>
      </c>
      <c r="AG60" s="41" t="e">
        <f>((1/(1+VLOOKUP($Z60,SegAWS[],HLOOKUP("Dispersion Parameter",SegAWS[],2,FALSE),FALSE)*AF60))*AF60
+(1-1/(1+VLOOKUP($Z60,SegAWS[],HLOOKUP("Dispersion Parameter",SegAWS[],2,FALSE),FALSE)*AF60))*AE60)</f>
        <v>#N/A</v>
      </c>
      <c r="AH60" s="101">
        <f t="shared" si="51"/>
        <v>0</v>
      </c>
      <c r="AI60" s="101" t="str">
        <f t="shared" si="38"/>
        <v>Missing Data</v>
      </c>
      <c r="AJ60" s="41" t="str">
        <f t="shared" si="39"/>
        <v>Missing Data</v>
      </c>
      <c r="AK60" s="101" t="str">
        <f t="shared" si="40"/>
        <v>Missing Data</v>
      </c>
      <c r="AL60" s="41" t="str">
        <f t="shared" si="41"/>
        <v>Missing Data</v>
      </c>
      <c r="AM60" s="44">
        <f t="shared" si="42"/>
        <v>0</v>
      </c>
      <c r="AN60" s="44">
        <f t="shared" si="43"/>
        <v>0</v>
      </c>
      <c r="AO60" s="60" t="str">
        <f t="shared" si="11"/>
        <v>Missing Data</v>
      </c>
      <c r="AP60" s="107"/>
      <c r="AQ60" s="107"/>
      <c r="AR60" s="41" t="e">
        <f>VLOOKUP($Z60,SegAWS[],HLOOKUP("Dispersion Parameter",SegAWS[],2,FALSE),FALSE)</f>
        <v>#N/A</v>
      </c>
      <c r="AS60" s="42" t="e">
        <f>VLOOKUP($Z60,SegAWS[],HLOOKUP("Dispersion Parameter",SegAWS[],2,FALSE),FALSE)</f>
        <v>#N/A</v>
      </c>
      <c r="AT60" s="41" t="e">
        <f t="shared" si="44"/>
        <v>#N/A</v>
      </c>
      <c r="AU60" s="41" t="e">
        <f t="shared" si="45"/>
        <v>#VALUE!</v>
      </c>
      <c r="AV60" s="41" t="e">
        <f t="shared" si="46"/>
        <v>#N/A</v>
      </c>
      <c r="AW60" s="41" t="e">
        <f t="shared" si="47"/>
        <v>#VALUE!</v>
      </c>
    </row>
    <row r="61" spans="1:49" x14ac:dyDescent="0.3">
      <c r="A61" s="110"/>
      <c r="B61" s="101"/>
      <c r="C61" s="101"/>
      <c r="D61" s="101"/>
      <c r="E61" s="101"/>
      <c r="F61" s="101"/>
      <c r="G61" s="101"/>
      <c r="H61" s="101"/>
      <c r="I61" s="44"/>
      <c r="J61" s="41"/>
      <c r="K61" s="44"/>
      <c r="L61" s="101"/>
      <c r="M61" s="101"/>
      <c r="N61" s="101"/>
      <c r="O61" s="44"/>
      <c r="P61" s="44"/>
      <c r="Q61" s="44"/>
      <c r="R61" s="44"/>
      <c r="S61" s="44"/>
      <c r="T61" s="44"/>
      <c r="U61" s="44"/>
      <c r="V61" s="44"/>
      <c r="W61" s="101" t="str">
        <f t="shared" si="48"/>
        <v/>
      </c>
      <c r="X61" s="43">
        <f t="shared" si="49"/>
        <v>5</v>
      </c>
      <c r="Y61" s="85" t="e">
        <f>VLOOKUP(Z61,SegAWS[],HLOOKUP("AWS Name",SegAWS[],2,FALSE),FALSE)</f>
        <v>#N/A</v>
      </c>
      <c r="Z61" s="91" t="str">
        <f t="shared" si="50"/>
        <v>Data Error: Number of Lanes</v>
      </c>
      <c r="AA61" s="108" t="str">
        <f>IFERROR(VLOOKUP($Z61,SegAWS[],HLOOKUP("KABC Scaler",SegAWS[],2,FALSE),FALSE),"Data Error")</f>
        <v>Data Error</v>
      </c>
      <c r="AB61" s="44">
        <f t="shared" si="36"/>
        <v>0</v>
      </c>
      <c r="AC61" s="42" t="str">
        <f>IF($J61="","Data Error: Segment Length",
IF(VLOOKUP($Z61,SegAWS[],HLOOKUP("Equation Form",SegAWS[],2,FALSE),FALSE)="Form 1",(((VLOOKUP($Z61,SegAWS[],HLOOKUP("Form 1 Num",SegAWS[],2,FALSE),FALSE))/(1 + EXP(-((VLOOKUP($Z61,SegAWS[],HLOOKUP("Form 1 Exp Coeff",SegAWS[],2,FALSE),FALSE))*($K61-(VLOOKUP($Z61,SegAWS[],HLOOKUP("Form 1 AADT Coeff",SegAWS[],2,FALSE),FALSE)))))))+(VLOOKUP($Z61,SegAWS[],HLOOKUP("Form 1 End Factor",SegAWS[],2,FALSE),FALSE)))*$X61*$J61,
IF(VLOOKUP($Z61,SegAWS[],HLOOKUP("Equation Form",SegAWS[],2,FALSE),FALSE)="Form 2",(EXP((VLOOKUP($Z61,SegAWS[],HLOOKUP("Form 2 Exp Coeff",SegAWS[],2,FALSE),FALSE)))*($K61^(VLOOKUP($Z61,SegAWS[],HLOOKUP("Form 2 AADT Coeff",SegAWS[],2,FALSE),FALSE))))*$X61*$J61,"Data Error: SPF Lookup Name")))</f>
        <v>Data Error: Segment Length</v>
      </c>
      <c r="AD61" s="42" t="e">
        <f>((1/(1+VLOOKUP($Z61,SegAWS[],HLOOKUP("Dispersion Parameter",SegAWS[],2,FALSE),FALSE)*AC61))*AC61
+(1-1/(1+VLOOKUP($Z61,SegAWS[],HLOOKUP("Dispersion Parameter",SegAWS[],2,FALSE),FALSE)*AC61))*AB61)</f>
        <v>#N/A</v>
      </c>
      <c r="AE61" s="44">
        <f t="shared" si="37"/>
        <v>0</v>
      </c>
      <c r="AF61" s="42" t="e">
        <f t="shared" si="15"/>
        <v>#VALUE!</v>
      </c>
      <c r="AG61" s="41" t="e">
        <f>((1/(1+VLOOKUP($Z61,SegAWS[],HLOOKUP("Dispersion Parameter",SegAWS[],2,FALSE),FALSE)*AF61))*AF61
+(1-1/(1+VLOOKUP($Z61,SegAWS[],HLOOKUP("Dispersion Parameter",SegAWS[],2,FALSE),FALSE)*AF61))*AE61)</f>
        <v>#N/A</v>
      </c>
      <c r="AH61" s="101">
        <f t="shared" si="51"/>
        <v>0</v>
      </c>
      <c r="AI61" s="101" t="str">
        <f t="shared" si="38"/>
        <v>Missing Data</v>
      </c>
      <c r="AJ61" s="41" t="str">
        <f t="shared" si="39"/>
        <v>Missing Data</v>
      </c>
      <c r="AK61" s="101" t="str">
        <f t="shared" si="40"/>
        <v>Missing Data</v>
      </c>
      <c r="AL61" s="41" t="str">
        <f t="shared" si="41"/>
        <v>Missing Data</v>
      </c>
      <c r="AM61" s="44">
        <f t="shared" si="42"/>
        <v>0</v>
      </c>
      <c r="AN61" s="44">
        <f t="shared" si="43"/>
        <v>0</v>
      </c>
      <c r="AO61" s="60" t="str">
        <f t="shared" si="11"/>
        <v>Missing Data</v>
      </c>
      <c r="AP61" s="107"/>
      <c r="AQ61" s="107"/>
      <c r="AR61" s="41" t="e">
        <f>VLOOKUP($Z61,SegAWS[],HLOOKUP("Dispersion Parameter",SegAWS[],2,FALSE),FALSE)</f>
        <v>#N/A</v>
      </c>
      <c r="AS61" s="42" t="e">
        <f>VLOOKUP($Z61,SegAWS[],HLOOKUP("Dispersion Parameter",SegAWS[],2,FALSE),FALSE)</f>
        <v>#N/A</v>
      </c>
      <c r="AT61" s="41" t="e">
        <f t="shared" si="44"/>
        <v>#N/A</v>
      </c>
      <c r="AU61" s="41" t="e">
        <f t="shared" si="45"/>
        <v>#VALUE!</v>
      </c>
      <c r="AV61" s="41" t="e">
        <f t="shared" si="46"/>
        <v>#N/A</v>
      </c>
      <c r="AW61" s="41" t="e">
        <f t="shared" si="47"/>
        <v>#VALUE!</v>
      </c>
    </row>
    <row r="62" spans="1:49" x14ac:dyDescent="0.3">
      <c r="A62" s="110"/>
      <c r="B62" s="101"/>
      <c r="C62" s="101"/>
      <c r="D62" s="101"/>
      <c r="E62" s="101"/>
      <c r="F62" s="101"/>
      <c r="G62" s="101"/>
      <c r="H62" s="101"/>
      <c r="I62" s="44"/>
      <c r="J62" s="41"/>
      <c r="K62" s="44"/>
      <c r="L62" s="101"/>
      <c r="M62" s="101"/>
      <c r="N62" s="101"/>
      <c r="O62" s="44"/>
      <c r="P62" s="44"/>
      <c r="Q62" s="44"/>
      <c r="R62" s="44"/>
      <c r="S62" s="44"/>
      <c r="T62" s="44"/>
      <c r="U62" s="44"/>
      <c r="V62" s="44"/>
      <c r="W62" s="101" t="str">
        <f t="shared" si="48"/>
        <v/>
      </c>
      <c r="X62" s="43">
        <f t="shared" si="49"/>
        <v>5</v>
      </c>
      <c r="Y62" s="85" t="e">
        <f>VLOOKUP(Z62,SegAWS[],HLOOKUP("AWS Name",SegAWS[],2,FALSE),FALSE)</f>
        <v>#N/A</v>
      </c>
      <c r="Z62" s="91" t="str">
        <f t="shared" si="50"/>
        <v>Data Error: Number of Lanes</v>
      </c>
      <c r="AA62" s="108" t="str">
        <f>IFERROR(VLOOKUP($Z62,SegAWS[],HLOOKUP("KABC Scaler",SegAWS[],2,FALSE),FALSE),"Data Error")</f>
        <v>Data Error</v>
      </c>
      <c r="AB62" s="44">
        <f t="shared" si="36"/>
        <v>0</v>
      </c>
      <c r="AC62" s="42" t="str">
        <f>IF($J62="","Data Error: Segment Length",
IF(VLOOKUP($Z62,SegAWS[],HLOOKUP("Equation Form",SegAWS[],2,FALSE),FALSE)="Form 1",(((VLOOKUP($Z62,SegAWS[],HLOOKUP("Form 1 Num",SegAWS[],2,FALSE),FALSE))/(1 + EXP(-((VLOOKUP($Z62,SegAWS[],HLOOKUP("Form 1 Exp Coeff",SegAWS[],2,FALSE),FALSE))*($K62-(VLOOKUP($Z62,SegAWS[],HLOOKUP("Form 1 AADT Coeff",SegAWS[],2,FALSE),FALSE)))))))+(VLOOKUP($Z62,SegAWS[],HLOOKUP("Form 1 End Factor",SegAWS[],2,FALSE),FALSE)))*$X62*$J62,
IF(VLOOKUP($Z62,SegAWS[],HLOOKUP("Equation Form",SegAWS[],2,FALSE),FALSE)="Form 2",(EXP((VLOOKUP($Z62,SegAWS[],HLOOKUP("Form 2 Exp Coeff",SegAWS[],2,FALSE),FALSE)))*($K62^(VLOOKUP($Z62,SegAWS[],HLOOKUP("Form 2 AADT Coeff",SegAWS[],2,FALSE),FALSE))))*$X62*$J62,"Data Error: SPF Lookup Name")))</f>
        <v>Data Error: Segment Length</v>
      </c>
      <c r="AD62" s="42" t="e">
        <f>((1/(1+VLOOKUP($Z62,SegAWS[],HLOOKUP("Dispersion Parameter",SegAWS[],2,FALSE),FALSE)*AC62))*AC62
+(1-1/(1+VLOOKUP($Z62,SegAWS[],HLOOKUP("Dispersion Parameter",SegAWS[],2,FALSE),FALSE)*AC62))*AB62)</f>
        <v>#N/A</v>
      </c>
      <c r="AE62" s="44">
        <f t="shared" si="37"/>
        <v>0</v>
      </c>
      <c r="AF62" s="42" t="e">
        <f t="shared" si="15"/>
        <v>#VALUE!</v>
      </c>
      <c r="AG62" s="41" t="e">
        <f>((1/(1+VLOOKUP($Z62,SegAWS[],HLOOKUP("Dispersion Parameter",SegAWS[],2,FALSE),FALSE)*AF62))*AF62
+(1-1/(1+VLOOKUP($Z62,SegAWS[],HLOOKUP("Dispersion Parameter",SegAWS[],2,FALSE),FALSE)*AF62))*AE62)</f>
        <v>#N/A</v>
      </c>
      <c r="AH62" s="101">
        <f t="shared" si="51"/>
        <v>0</v>
      </c>
      <c r="AI62" s="101" t="str">
        <f t="shared" si="38"/>
        <v>Missing Data</v>
      </c>
      <c r="AJ62" s="41" t="str">
        <f t="shared" si="39"/>
        <v>Missing Data</v>
      </c>
      <c r="AK62" s="101" t="str">
        <f t="shared" si="40"/>
        <v>Missing Data</v>
      </c>
      <c r="AL62" s="41" t="str">
        <f t="shared" si="41"/>
        <v>Missing Data</v>
      </c>
      <c r="AM62" s="44">
        <f t="shared" si="42"/>
        <v>0</v>
      </c>
      <c r="AN62" s="44">
        <f t="shared" si="43"/>
        <v>0</v>
      </c>
      <c r="AO62" s="60" t="str">
        <f t="shared" si="11"/>
        <v>Missing Data</v>
      </c>
      <c r="AP62" s="107"/>
      <c r="AQ62" s="107"/>
      <c r="AR62" s="41" t="e">
        <f>VLOOKUP($Z62,SegAWS[],HLOOKUP("Dispersion Parameter",SegAWS[],2,FALSE),FALSE)</f>
        <v>#N/A</v>
      </c>
      <c r="AS62" s="42" t="e">
        <f>VLOOKUP($Z62,SegAWS[],HLOOKUP("Dispersion Parameter",SegAWS[],2,FALSE),FALSE)</f>
        <v>#N/A</v>
      </c>
      <c r="AT62" s="41" t="e">
        <f t="shared" si="44"/>
        <v>#N/A</v>
      </c>
      <c r="AU62" s="41" t="e">
        <f t="shared" si="45"/>
        <v>#VALUE!</v>
      </c>
      <c r="AV62" s="41" t="e">
        <f t="shared" si="46"/>
        <v>#N/A</v>
      </c>
      <c r="AW62" s="41" t="e">
        <f t="shared" si="47"/>
        <v>#VALUE!</v>
      </c>
    </row>
    <row r="63" spans="1:49" x14ac:dyDescent="0.3">
      <c r="A63" s="110"/>
      <c r="B63" s="101"/>
      <c r="C63" s="101"/>
      <c r="D63" s="101"/>
      <c r="E63" s="101"/>
      <c r="F63" s="101"/>
      <c r="G63" s="101"/>
      <c r="H63" s="101"/>
      <c r="I63" s="44"/>
      <c r="J63" s="41"/>
      <c r="K63" s="44"/>
      <c r="L63" s="101"/>
      <c r="M63" s="101"/>
      <c r="N63" s="101"/>
      <c r="O63" s="44"/>
      <c r="P63" s="44"/>
      <c r="Q63" s="44"/>
      <c r="R63" s="44"/>
      <c r="S63" s="44"/>
      <c r="T63" s="44"/>
      <c r="U63" s="44"/>
      <c r="V63" s="44"/>
      <c r="W63" s="101" t="str">
        <f t="shared" si="48"/>
        <v/>
      </c>
      <c r="X63" s="43">
        <f t="shared" si="49"/>
        <v>5</v>
      </c>
      <c r="Y63" s="85" t="e">
        <f>VLOOKUP(Z63,SegAWS[],HLOOKUP("AWS Name",SegAWS[],2,FALSE),FALSE)</f>
        <v>#N/A</v>
      </c>
      <c r="Z63" s="91" t="str">
        <f t="shared" si="50"/>
        <v>Data Error: Number of Lanes</v>
      </c>
      <c r="AA63" s="108" t="str">
        <f>IFERROR(VLOOKUP($Z63,SegAWS[],HLOOKUP("KABC Scaler",SegAWS[],2,FALSE),FALSE),"Data Error")</f>
        <v>Data Error</v>
      </c>
      <c r="AB63" s="44">
        <f t="shared" si="36"/>
        <v>0</v>
      </c>
      <c r="AC63" s="42" t="str">
        <f>IF($J63="","Data Error: Segment Length",
IF(VLOOKUP($Z63,SegAWS[],HLOOKUP("Equation Form",SegAWS[],2,FALSE),FALSE)="Form 1",(((VLOOKUP($Z63,SegAWS[],HLOOKUP("Form 1 Num",SegAWS[],2,FALSE),FALSE))/(1 + EXP(-((VLOOKUP($Z63,SegAWS[],HLOOKUP("Form 1 Exp Coeff",SegAWS[],2,FALSE),FALSE))*($K63-(VLOOKUP($Z63,SegAWS[],HLOOKUP("Form 1 AADT Coeff",SegAWS[],2,FALSE),FALSE)))))))+(VLOOKUP($Z63,SegAWS[],HLOOKUP("Form 1 End Factor",SegAWS[],2,FALSE),FALSE)))*$X63*$J63,
IF(VLOOKUP($Z63,SegAWS[],HLOOKUP("Equation Form",SegAWS[],2,FALSE),FALSE)="Form 2",(EXP((VLOOKUP($Z63,SegAWS[],HLOOKUP("Form 2 Exp Coeff",SegAWS[],2,FALSE),FALSE)))*($K63^(VLOOKUP($Z63,SegAWS[],HLOOKUP("Form 2 AADT Coeff",SegAWS[],2,FALSE),FALSE))))*$X63*$J63,"Data Error: SPF Lookup Name")))</f>
        <v>Data Error: Segment Length</v>
      </c>
      <c r="AD63" s="42" t="e">
        <f>((1/(1+VLOOKUP($Z63,SegAWS[],HLOOKUP("Dispersion Parameter",SegAWS[],2,FALSE),FALSE)*AC63))*AC63
+(1-1/(1+VLOOKUP($Z63,SegAWS[],HLOOKUP("Dispersion Parameter",SegAWS[],2,FALSE),FALSE)*AC63))*AB63)</f>
        <v>#N/A</v>
      </c>
      <c r="AE63" s="44">
        <f t="shared" si="37"/>
        <v>0</v>
      </c>
      <c r="AF63" s="42" t="e">
        <f t="shared" si="15"/>
        <v>#VALUE!</v>
      </c>
      <c r="AG63" s="41" t="e">
        <f>((1/(1+VLOOKUP($Z63,SegAWS[],HLOOKUP("Dispersion Parameter",SegAWS[],2,FALSE),FALSE)*AF63))*AF63
+(1-1/(1+VLOOKUP($Z63,SegAWS[],HLOOKUP("Dispersion Parameter",SegAWS[],2,FALSE),FALSE)*AF63))*AE63)</f>
        <v>#N/A</v>
      </c>
      <c r="AH63" s="101">
        <f t="shared" si="51"/>
        <v>0</v>
      </c>
      <c r="AI63" s="101" t="str">
        <f t="shared" si="38"/>
        <v>Missing Data</v>
      </c>
      <c r="AJ63" s="41" t="str">
        <f t="shared" si="39"/>
        <v>Missing Data</v>
      </c>
      <c r="AK63" s="101" t="str">
        <f t="shared" si="40"/>
        <v>Missing Data</v>
      </c>
      <c r="AL63" s="41" t="str">
        <f t="shared" si="41"/>
        <v>Missing Data</v>
      </c>
      <c r="AM63" s="44">
        <f t="shared" si="42"/>
        <v>0</v>
      </c>
      <c r="AN63" s="44">
        <f t="shared" si="43"/>
        <v>0</v>
      </c>
      <c r="AO63" s="60" t="str">
        <f t="shared" si="11"/>
        <v>Missing Data</v>
      </c>
      <c r="AP63" s="107"/>
      <c r="AQ63" s="107"/>
      <c r="AR63" s="41" t="e">
        <f>VLOOKUP($Z63,SegAWS[],HLOOKUP("Dispersion Parameter",SegAWS[],2,FALSE),FALSE)</f>
        <v>#N/A</v>
      </c>
      <c r="AS63" s="42" t="e">
        <f>VLOOKUP($Z63,SegAWS[],HLOOKUP("Dispersion Parameter",SegAWS[],2,FALSE),FALSE)</f>
        <v>#N/A</v>
      </c>
      <c r="AT63" s="41" t="e">
        <f t="shared" si="44"/>
        <v>#N/A</v>
      </c>
      <c r="AU63" s="41" t="e">
        <f t="shared" si="45"/>
        <v>#VALUE!</v>
      </c>
      <c r="AV63" s="41" t="e">
        <f t="shared" si="46"/>
        <v>#N/A</v>
      </c>
      <c r="AW63" s="41" t="e">
        <f t="shared" si="47"/>
        <v>#VALUE!</v>
      </c>
    </row>
    <row r="64" spans="1:49" x14ac:dyDescent="0.3">
      <c r="A64" s="110"/>
      <c r="B64" s="101"/>
      <c r="C64" s="101"/>
      <c r="D64" s="101"/>
      <c r="E64" s="101"/>
      <c r="F64" s="101"/>
      <c r="G64" s="101"/>
      <c r="H64" s="101"/>
      <c r="I64" s="44"/>
      <c r="J64" s="41"/>
      <c r="K64" s="44"/>
      <c r="L64" s="101"/>
      <c r="M64" s="101"/>
      <c r="N64" s="101"/>
      <c r="O64" s="44"/>
      <c r="P64" s="44"/>
      <c r="Q64" s="44"/>
      <c r="R64" s="44"/>
      <c r="S64" s="44"/>
      <c r="T64" s="44"/>
      <c r="U64" s="44"/>
      <c r="V64" s="44"/>
      <c r="W64" s="101" t="str">
        <f t="shared" si="48"/>
        <v/>
      </c>
      <c r="X64" s="43">
        <f t="shared" si="49"/>
        <v>5</v>
      </c>
      <c r="Y64" s="85" t="e">
        <f>VLOOKUP(Z64,SegAWS[],HLOOKUP("AWS Name",SegAWS[],2,FALSE),FALSE)</f>
        <v>#N/A</v>
      </c>
      <c r="Z64" s="91" t="str">
        <f t="shared" si="50"/>
        <v>Data Error: Number of Lanes</v>
      </c>
      <c r="AA64" s="108" t="str">
        <f>IFERROR(VLOOKUP($Z64,SegAWS[],HLOOKUP("KABC Scaler",SegAWS[],2,FALSE),FALSE),"Data Error")</f>
        <v>Data Error</v>
      </c>
      <c r="AB64" s="44">
        <f t="shared" si="36"/>
        <v>0</v>
      </c>
      <c r="AC64" s="42" t="str">
        <f>IF($J64="","Data Error: Segment Length",
IF(VLOOKUP($Z64,SegAWS[],HLOOKUP("Equation Form",SegAWS[],2,FALSE),FALSE)="Form 1",(((VLOOKUP($Z64,SegAWS[],HLOOKUP("Form 1 Num",SegAWS[],2,FALSE),FALSE))/(1 + EXP(-((VLOOKUP($Z64,SegAWS[],HLOOKUP("Form 1 Exp Coeff",SegAWS[],2,FALSE),FALSE))*($K64-(VLOOKUP($Z64,SegAWS[],HLOOKUP("Form 1 AADT Coeff",SegAWS[],2,FALSE),FALSE)))))))+(VLOOKUP($Z64,SegAWS[],HLOOKUP("Form 1 End Factor",SegAWS[],2,FALSE),FALSE)))*$X64*$J64,
IF(VLOOKUP($Z64,SegAWS[],HLOOKUP("Equation Form",SegAWS[],2,FALSE),FALSE)="Form 2",(EXP((VLOOKUP($Z64,SegAWS[],HLOOKUP("Form 2 Exp Coeff",SegAWS[],2,FALSE),FALSE)))*($K64^(VLOOKUP($Z64,SegAWS[],HLOOKUP("Form 2 AADT Coeff",SegAWS[],2,FALSE),FALSE))))*$X64*$J64,"Data Error: SPF Lookup Name")))</f>
        <v>Data Error: Segment Length</v>
      </c>
      <c r="AD64" s="42" t="e">
        <f>((1/(1+VLOOKUP($Z64,SegAWS[],HLOOKUP("Dispersion Parameter",SegAWS[],2,FALSE),FALSE)*AC64))*AC64
+(1-1/(1+VLOOKUP($Z64,SegAWS[],HLOOKUP("Dispersion Parameter",SegAWS[],2,FALSE),FALSE)*AC64))*AB64)</f>
        <v>#N/A</v>
      </c>
      <c r="AE64" s="44">
        <f t="shared" si="37"/>
        <v>0</v>
      </c>
      <c r="AF64" s="42" t="e">
        <f t="shared" si="15"/>
        <v>#VALUE!</v>
      </c>
      <c r="AG64" s="41" t="e">
        <f>((1/(1+VLOOKUP($Z64,SegAWS[],HLOOKUP("Dispersion Parameter",SegAWS[],2,FALSE),FALSE)*AF64))*AF64
+(1-1/(1+VLOOKUP($Z64,SegAWS[],HLOOKUP("Dispersion Parameter",SegAWS[],2,FALSE),FALSE)*AF64))*AE64)</f>
        <v>#N/A</v>
      </c>
      <c r="AH64" s="101">
        <f t="shared" si="51"/>
        <v>0</v>
      </c>
      <c r="AI64" s="101" t="str">
        <f t="shared" si="38"/>
        <v>Missing Data</v>
      </c>
      <c r="AJ64" s="41" t="str">
        <f t="shared" si="39"/>
        <v>Missing Data</v>
      </c>
      <c r="AK64" s="101" t="str">
        <f t="shared" si="40"/>
        <v>Missing Data</v>
      </c>
      <c r="AL64" s="41" t="str">
        <f t="shared" si="41"/>
        <v>Missing Data</v>
      </c>
      <c r="AM64" s="44">
        <f t="shared" si="42"/>
        <v>0</v>
      </c>
      <c r="AN64" s="44">
        <f t="shared" si="43"/>
        <v>0</v>
      </c>
      <c r="AO64" s="60" t="str">
        <f t="shared" si="11"/>
        <v>Missing Data</v>
      </c>
      <c r="AP64" s="107"/>
      <c r="AQ64" s="107"/>
      <c r="AR64" s="41" t="e">
        <f>VLOOKUP($Z64,SegAWS[],HLOOKUP("Dispersion Parameter",SegAWS[],2,FALSE),FALSE)</f>
        <v>#N/A</v>
      </c>
      <c r="AS64" s="42" t="e">
        <f>VLOOKUP($Z64,SegAWS[],HLOOKUP("Dispersion Parameter",SegAWS[],2,FALSE),FALSE)</f>
        <v>#N/A</v>
      </c>
      <c r="AT64" s="41" t="e">
        <f t="shared" si="44"/>
        <v>#N/A</v>
      </c>
      <c r="AU64" s="41" t="e">
        <f t="shared" si="45"/>
        <v>#VALUE!</v>
      </c>
      <c r="AV64" s="41" t="e">
        <f t="shared" si="46"/>
        <v>#N/A</v>
      </c>
      <c r="AW64" s="41" t="e">
        <f t="shared" si="47"/>
        <v>#VALUE!</v>
      </c>
    </row>
    <row r="65" spans="1:49" x14ac:dyDescent="0.3">
      <c r="A65" s="110"/>
      <c r="B65" s="101"/>
      <c r="C65" s="101"/>
      <c r="D65" s="101"/>
      <c r="E65" s="101"/>
      <c r="F65" s="101"/>
      <c r="G65" s="101"/>
      <c r="H65" s="101"/>
      <c r="I65" s="44"/>
      <c r="J65" s="41"/>
      <c r="K65" s="44"/>
      <c r="L65" s="101"/>
      <c r="M65" s="101"/>
      <c r="N65" s="101"/>
      <c r="O65" s="44"/>
      <c r="P65" s="44"/>
      <c r="Q65" s="44"/>
      <c r="R65" s="44"/>
      <c r="S65" s="44"/>
      <c r="T65" s="44"/>
      <c r="U65" s="44"/>
      <c r="V65" s="44"/>
      <c r="W65" s="101" t="str">
        <f t="shared" si="48"/>
        <v/>
      </c>
      <c r="X65" s="43">
        <f t="shared" si="49"/>
        <v>5</v>
      </c>
      <c r="Y65" s="85" t="e">
        <f>VLOOKUP(Z65,SegAWS[],HLOOKUP("AWS Name",SegAWS[],2,FALSE),FALSE)</f>
        <v>#N/A</v>
      </c>
      <c r="Z65" s="91" t="str">
        <f t="shared" si="50"/>
        <v>Data Error: Number of Lanes</v>
      </c>
      <c r="AA65" s="108" t="str">
        <f>IFERROR(VLOOKUP($Z65,SegAWS[],HLOOKUP("KABC Scaler",SegAWS[],2,FALSE),FALSE),"Data Error")</f>
        <v>Data Error</v>
      </c>
      <c r="AB65" s="44">
        <f t="shared" si="36"/>
        <v>0</v>
      </c>
      <c r="AC65" s="42" t="str">
        <f>IF($J65="","Data Error: Segment Length",
IF(VLOOKUP($Z65,SegAWS[],HLOOKUP("Equation Form",SegAWS[],2,FALSE),FALSE)="Form 1",(((VLOOKUP($Z65,SegAWS[],HLOOKUP("Form 1 Num",SegAWS[],2,FALSE),FALSE))/(1 + EXP(-((VLOOKUP($Z65,SegAWS[],HLOOKUP("Form 1 Exp Coeff",SegAWS[],2,FALSE),FALSE))*($K65-(VLOOKUP($Z65,SegAWS[],HLOOKUP("Form 1 AADT Coeff",SegAWS[],2,FALSE),FALSE)))))))+(VLOOKUP($Z65,SegAWS[],HLOOKUP("Form 1 End Factor",SegAWS[],2,FALSE),FALSE)))*$X65*$J65,
IF(VLOOKUP($Z65,SegAWS[],HLOOKUP("Equation Form",SegAWS[],2,FALSE),FALSE)="Form 2",(EXP((VLOOKUP($Z65,SegAWS[],HLOOKUP("Form 2 Exp Coeff",SegAWS[],2,FALSE),FALSE)))*($K65^(VLOOKUP($Z65,SegAWS[],HLOOKUP("Form 2 AADT Coeff",SegAWS[],2,FALSE),FALSE))))*$X65*$J65,"Data Error: SPF Lookup Name")))</f>
        <v>Data Error: Segment Length</v>
      </c>
      <c r="AD65" s="42" t="e">
        <f>((1/(1+VLOOKUP($Z65,SegAWS[],HLOOKUP("Dispersion Parameter",SegAWS[],2,FALSE),FALSE)*AC65))*AC65
+(1-1/(1+VLOOKUP($Z65,SegAWS[],HLOOKUP("Dispersion Parameter",SegAWS[],2,FALSE),FALSE)*AC65))*AB65)</f>
        <v>#N/A</v>
      </c>
      <c r="AE65" s="44">
        <f t="shared" si="37"/>
        <v>0</v>
      </c>
      <c r="AF65" s="42" t="e">
        <f t="shared" si="15"/>
        <v>#VALUE!</v>
      </c>
      <c r="AG65" s="41" t="e">
        <f>((1/(1+VLOOKUP($Z65,SegAWS[],HLOOKUP("Dispersion Parameter",SegAWS[],2,FALSE),FALSE)*AF65))*AF65
+(1-1/(1+VLOOKUP($Z65,SegAWS[],HLOOKUP("Dispersion Parameter",SegAWS[],2,FALSE),FALSE)*AF65))*AE65)</f>
        <v>#N/A</v>
      </c>
      <c r="AH65" s="101">
        <f t="shared" si="51"/>
        <v>0</v>
      </c>
      <c r="AI65" s="101" t="str">
        <f t="shared" si="38"/>
        <v>Missing Data</v>
      </c>
      <c r="AJ65" s="41" t="str">
        <f t="shared" si="39"/>
        <v>Missing Data</v>
      </c>
      <c r="AK65" s="101" t="str">
        <f t="shared" si="40"/>
        <v>Missing Data</v>
      </c>
      <c r="AL65" s="41" t="str">
        <f t="shared" si="41"/>
        <v>Missing Data</v>
      </c>
      <c r="AM65" s="44">
        <f t="shared" si="42"/>
        <v>0</v>
      </c>
      <c r="AN65" s="44">
        <f t="shared" si="43"/>
        <v>0</v>
      </c>
      <c r="AO65" s="60" t="str">
        <f t="shared" si="11"/>
        <v>Missing Data</v>
      </c>
      <c r="AP65" s="107"/>
      <c r="AQ65" s="107"/>
      <c r="AR65" s="41" t="e">
        <f>VLOOKUP($Z65,SegAWS[],HLOOKUP("Dispersion Parameter",SegAWS[],2,FALSE),FALSE)</f>
        <v>#N/A</v>
      </c>
      <c r="AS65" s="42" t="e">
        <f>VLOOKUP($Z65,SegAWS[],HLOOKUP("Dispersion Parameter",SegAWS[],2,FALSE),FALSE)</f>
        <v>#N/A</v>
      </c>
      <c r="AT65" s="41" t="e">
        <f t="shared" si="44"/>
        <v>#N/A</v>
      </c>
      <c r="AU65" s="41" t="e">
        <f t="shared" si="45"/>
        <v>#VALUE!</v>
      </c>
      <c r="AV65" s="41" t="e">
        <f t="shared" si="46"/>
        <v>#N/A</v>
      </c>
      <c r="AW65" s="41" t="e">
        <f t="shared" si="47"/>
        <v>#VALUE!</v>
      </c>
    </row>
    <row r="66" spans="1:49" x14ac:dyDescent="0.3">
      <c r="A66" s="110"/>
      <c r="B66" s="101"/>
      <c r="C66" s="101"/>
      <c r="D66" s="101"/>
      <c r="E66" s="101"/>
      <c r="F66" s="101"/>
      <c r="G66" s="101"/>
      <c r="H66" s="101"/>
      <c r="I66" s="44"/>
      <c r="J66" s="41"/>
      <c r="K66" s="44"/>
      <c r="L66" s="101"/>
      <c r="M66" s="101"/>
      <c r="N66" s="101"/>
      <c r="O66" s="44"/>
      <c r="P66" s="44"/>
      <c r="Q66" s="44"/>
      <c r="R66" s="44"/>
      <c r="S66" s="44"/>
      <c r="T66" s="44"/>
      <c r="U66" s="44"/>
      <c r="V66" s="44"/>
      <c r="W66" s="101" t="str">
        <f t="shared" si="48"/>
        <v/>
      </c>
      <c r="X66" s="43">
        <f t="shared" si="49"/>
        <v>5</v>
      </c>
      <c r="Y66" s="85" t="e">
        <f>VLOOKUP(Z66,SegAWS[],HLOOKUP("AWS Name",SegAWS[],2,FALSE),FALSE)</f>
        <v>#N/A</v>
      </c>
      <c r="Z66" s="91" t="str">
        <f t="shared" si="50"/>
        <v>Data Error: Number of Lanes</v>
      </c>
      <c r="AA66" s="108" t="str">
        <f>IFERROR(VLOOKUP($Z66,SegAWS[],HLOOKUP("KABC Scaler",SegAWS[],2,FALSE),FALSE),"Data Error")</f>
        <v>Data Error</v>
      </c>
      <c r="AB66" s="44">
        <f t="shared" si="36"/>
        <v>0</v>
      </c>
      <c r="AC66" s="42" t="str">
        <f>IF($J66="","Data Error: Segment Length",
IF(VLOOKUP($Z66,SegAWS[],HLOOKUP("Equation Form",SegAWS[],2,FALSE),FALSE)="Form 1",(((VLOOKUP($Z66,SegAWS[],HLOOKUP("Form 1 Num",SegAWS[],2,FALSE),FALSE))/(1 + EXP(-((VLOOKUP($Z66,SegAWS[],HLOOKUP("Form 1 Exp Coeff",SegAWS[],2,FALSE),FALSE))*($K66-(VLOOKUP($Z66,SegAWS[],HLOOKUP("Form 1 AADT Coeff",SegAWS[],2,FALSE),FALSE)))))))+(VLOOKUP($Z66,SegAWS[],HLOOKUP("Form 1 End Factor",SegAWS[],2,FALSE),FALSE)))*$X66*$J66,
IF(VLOOKUP($Z66,SegAWS[],HLOOKUP("Equation Form",SegAWS[],2,FALSE),FALSE)="Form 2",(EXP((VLOOKUP($Z66,SegAWS[],HLOOKUP("Form 2 Exp Coeff",SegAWS[],2,FALSE),FALSE)))*($K66^(VLOOKUP($Z66,SegAWS[],HLOOKUP("Form 2 AADT Coeff",SegAWS[],2,FALSE),FALSE))))*$X66*$J66,"Data Error: SPF Lookup Name")))</f>
        <v>Data Error: Segment Length</v>
      </c>
      <c r="AD66" s="42" t="e">
        <f>((1/(1+VLOOKUP($Z66,SegAWS[],HLOOKUP("Dispersion Parameter",SegAWS[],2,FALSE),FALSE)*AC66))*AC66
+(1-1/(1+VLOOKUP($Z66,SegAWS[],HLOOKUP("Dispersion Parameter",SegAWS[],2,FALSE),FALSE)*AC66))*AB66)</f>
        <v>#N/A</v>
      </c>
      <c r="AE66" s="44">
        <f t="shared" si="37"/>
        <v>0</v>
      </c>
      <c r="AF66" s="42" t="e">
        <f t="shared" si="15"/>
        <v>#VALUE!</v>
      </c>
      <c r="AG66" s="41" t="e">
        <f>((1/(1+VLOOKUP($Z66,SegAWS[],HLOOKUP("Dispersion Parameter",SegAWS[],2,FALSE),FALSE)*AF66))*AF66
+(1-1/(1+VLOOKUP($Z66,SegAWS[],HLOOKUP("Dispersion Parameter",SegAWS[],2,FALSE),FALSE)*AF66))*AE66)</f>
        <v>#N/A</v>
      </c>
      <c r="AH66" s="101">
        <f t="shared" si="51"/>
        <v>0</v>
      </c>
      <c r="AI66" s="101" t="str">
        <f t="shared" si="38"/>
        <v>Missing Data</v>
      </c>
      <c r="AJ66" s="41" t="str">
        <f t="shared" si="39"/>
        <v>Missing Data</v>
      </c>
      <c r="AK66" s="101" t="str">
        <f t="shared" si="40"/>
        <v>Missing Data</v>
      </c>
      <c r="AL66" s="41" t="str">
        <f t="shared" si="41"/>
        <v>Missing Data</v>
      </c>
      <c r="AM66" s="44">
        <f t="shared" si="42"/>
        <v>0</v>
      </c>
      <c r="AN66" s="44">
        <f t="shared" si="43"/>
        <v>0</v>
      </c>
      <c r="AO66" s="60" t="str">
        <f t="shared" si="11"/>
        <v>Missing Data</v>
      </c>
      <c r="AP66" s="107"/>
      <c r="AQ66" s="107"/>
      <c r="AR66" s="41" t="e">
        <f>VLOOKUP($Z66,SegAWS[],HLOOKUP("Dispersion Parameter",SegAWS[],2,FALSE),FALSE)</f>
        <v>#N/A</v>
      </c>
      <c r="AS66" s="42" t="e">
        <f>VLOOKUP($Z66,SegAWS[],HLOOKUP("Dispersion Parameter",SegAWS[],2,FALSE),FALSE)</f>
        <v>#N/A</v>
      </c>
      <c r="AT66" s="41" t="e">
        <f t="shared" si="44"/>
        <v>#N/A</v>
      </c>
      <c r="AU66" s="41" t="e">
        <f t="shared" si="45"/>
        <v>#VALUE!</v>
      </c>
      <c r="AV66" s="41" t="e">
        <f t="shared" si="46"/>
        <v>#N/A</v>
      </c>
      <c r="AW66" s="41" t="e">
        <f t="shared" si="47"/>
        <v>#VALUE!</v>
      </c>
    </row>
    <row r="67" spans="1:49" x14ac:dyDescent="0.3">
      <c r="A67" s="110"/>
      <c r="B67" s="101"/>
      <c r="C67" s="101"/>
      <c r="D67" s="101"/>
      <c r="E67" s="101"/>
      <c r="F67" s="101"/>
      <c r="G67" s="101"/>
      <c r="H67" s="101"/>
      <c r="I67" s="44"/>
      <c r="J67" s="41"/>
      <c r="K67" s="44"/>
      <c r="L67" s="101"/>
      <c r="M67" s="101"/>
      <c r="N67" s="101"/>
      <c r="O67" s="44"/>
      <c r="P67" s="44"/>
      <c r="Q67" s="44"/>
      <c r="R67" s="44"/>
      <c r="S67" s="44"/>
      <c r="T67" s="44"/>
      <c r="U67" s="44"/>
      <c r="V67" s="44"/>
      <c r="W67" s="101" t="str">
        <f t="shared" si="48"/>
        <v/>
      </c>
      <c r="X67" s="43">
        <f t="shared" si="49"/>
        <v>5</v>
      </c>
      <c r="Y67" s="85" t="e">
        <f>VLOOKUP(Z67,SegAWS[],HLOOKUP("AWS Name",SegAWS[],2,FALSE),FALSE)</f>
        <v>#N/A</v>
      </c>
      <c r="Z67" s="91" t="str">
        <f t="shared" si="50"/>
        <v>Data Error: Number of Lanes</v>
      </c>
      <c r="AA67" s="108" t="str">
        <f>IFERROR(VLOOKUP($Z67,SegAWS[],HLOOKUP("KABC Scaler",SegAWS[],2,FALSE),FALSE),"Data Error")</f>
        <v>Data Error</v>
      </c>
      <c r="AB67" s="44">
        <f t="shared" si="36"/>
        <v>0</v>
      </c>
      <c r="AC67" s="42" t="str">
        <f>IF($J67="","Data Error: Segment Length",
IF(VLOOKUP($Z67,SegAWS[],HLOOKUP("Equation Form",SegAWS[],2,FALSE),FALSE)="Form 1",(((VLOOKUP($Z67,SegAWS[],HLOOKUP("Form 1 Num",SegAWS[],2,FALSE),FALSE))/(1 + EXP(-((VLOOKUP($Z67,SegAWS[],HLOOKUP("Form 1 Exp Coeff",SegAWS[],2,FALSE),FALSE))*($K67-(VLOOKUP($Z67,SegAWS[],HLOOKUP("Form 1 AADT Coeff",SegAWS[],2,FALSE),FALSE)))))))+(VLOOKUP($Z67,SegAWS[],HLOOKUP("Form 1 End Factor",SegAWS[],2,FALSE),FALSE)))*$X67*$J67,
IF(VLOOKUP($Z67,SegAWS[],HLOOKUP("Equation Form",SegAWS[],2,FALSE),FALSE)="Form 2",(EXP((VLOOKUP($Z67,SegAWS[],HLOOKUP("Form 2 Exp Coeff",SegAWS[],2,FALSE),FALSE)))*($K67^(VLOOKUP($Z67,SegAWS[],HLOOKUP("Form 2 AADT Coeff",SegAWS[],2,FALSE),FALSE))))*$X67*$J67,"Data Error: SPF Lookup Name")))</f>
        <v>Data Error: Segment Length</v>
      </c>
      <c r="AD67" s="42" t="e">
        <f>((1/(1+VLOOKUP($Z67,SegAWS[],HLOOKUP("Dispersion Parameter",SegAWS[],2,FALSE),FALSE)*AC67))*AC67
+(1-1/(1+VLOOKUP($Z67,SegAWS[],HLOOKUP("Dispersion Parameter",SegAWS[],2,FALSE),FALSE)*AC67))*AB67)</f>
        <v>#N/A</v>
      </c>
      <c r="AE67" s="44">
        <f t="shared" si="37"/>
        <v>0</v>
      </c>
      <c r="AF67" s="42" t="e">
        <f t="shared" si="15"/>
        <v>#VALUE!</v>
      </c>
      <c r="AG67" s="41" t="e">
        <f>((1/(1+VLOOKUP($Z67,SegAWS[],HLOOKUP("Dispersion Parameter",SegAWS[],2,FALSE),FALSE)*AF67))*AF67
+(1-1/(1+VLOOKUP($Z67,SegAWS[],HLOOKUP("Dispersion Parameter",SegAWS[],2,FALSE),FALSE)*AF67))*AE67)</f>
        <v>#N/A</v>
      </c>
      <c r="AH67" s="101">
        <f t="shared" si="51"/>
        <v>0</v>
      </c>
      <c r="AI67" s="101" t="str">
        <f t="shared" si="38"/>
        <v>Missing Data</v>
      </c>
      <c r="AJ67" s="41" t="str">
        <f t="shared" si="39"/>
        <v>Missing Data</v>
      </c>
      <c r="AK67" s="101" t="str">
        <f t="shared" si="40"/>
        <v>Missing Data</v>
      </c>
      <c r="AL67" s="41" t="str">
        <f t="shared" si="41"/>
        <v>Missing Data</v>
      </c>
      <c r="AM67" s="44">
        <f t="shared" si="42"/>
        <v>0</v>
      </c>
      <c r="AN67" s="44">
        <f t="shared" si="43"/>
        <v>0</v>
      </c>
      <c r="AO67" s="60" t="str">
        <f t="shared" si="11"/>
        <v>Missing Data</v>
      </c>
      <c r="AP67" s="107"/>
      <c r="AQ67" s="107"/>
      <c r="AR67" s="41" t="e">
        <f>VLOOKUP($Z67,SegAWS[],HLOOKUP("Dispersion Parameter",SegAWS[],2,FALSE),FALSE)</f>
        <v>#N/A</v>
      </c>
      <c r="AS67" s="42" t="e">
        <f>VLOOKUP($Z67,SegAWS[],HLOOKUP("Dispersion Parameter",SegAWS[],2,FALSE),FALSE)</f>
        <v>#N/A</v>
      </c>
      <c r="AT67" s="41" t="e">
        <f t="shared" si="44"/>
        <v>#N/A</v>
      </c>
      <c r="AU67" s="41" t="e">
        <f t="shared" si="45"/>
        <v>#VALUE!</v>
      </c>
      <c r="AV67" s="41" t="e">
        <f t="shared" si="46"/>
        <v>#N/A</v>
      </c>
      <c r="AW67" s="41" t="e">
        <f t="shared" si="47"/>
        <v>#VALUE!</v>
      </c>
    </row>
    <row r="68" spans="1:49" x14ac:dyDescent="0.3">
      <c r="A68" s="110"/>
      <c r="B68" s="101"/>
      <c r="C68" s="101"/>
      <c r="D68" s="101"/>
      <c r="E68" s="101"/>
      <c r="F68" s="101"/>
      <c r="G68" s="101"/>
      <c r="H68" s="101"/>
      <c r="I68" s="44"/>
      <c r="J68" s="41"/>
      <c r="K68" s="44"/>
      <c r="L68" s="101"/>
      <c r="M68" s="101"/>
      <c r="N68" s="101"/>
      <c r="O68" s="44"/>
      <c r="P68" s="44"/>
      <c r="Q68" s="44"/>
      <c r="R68" s="44"/>
      <c r="S68" s="44"/>
      <c r="T68" s="44"/>
      <c r="U68" s="44"/>
      <c r="V68" s="44"/>
      <c r="W68" s="101" t="str">
        <f t="shared" si="48"/>
        <v/>
      </c>
      <c r="X68" s="43">
        <f t="shared" si="49"/>
        <v>5</v>
      </c>
      <c r="Y68" s="85" t="e">
        <f>VLOOKUP(Z68,SegAWS[],HLOOKUP("AWS Name",SegAWS[],2,FALSE),FALSE)</f>
        <v>#N/A</v>
      </c>
      <c r="Z68" s="91" t="str">
        <f t="shared" si="50"/>
        <v>Data Error: Number of Lanes</v>
      </c>
      <c r="AA68" s="108" t="str">
        <f>IFERROR(VLOOKUP($Z68,SegAWS[],HLOOKUP("KABC Scaler",SegAWS[],2,FALSE),FALSE),"Data Error")</f>
        <v>Data Error</v>
      </c>
      <c r="AB68" s="44">
        <f t="shared" si="36"/>
        <v>0</v>
      </c>
      <c r="AC68" s="42" t="str">
        <f>IF($J68="","Data Error: Segment Length",
IF(VLOOKUP($Z68,SegAWS[],HLOOKUP("Equation Form",SegAWS[],2,FALSE),FALSE)="Form 1",(((VLOOKUP($Z68,SegAWS[],HLOOKUP("Form 1 Num",SegAWS[],2,FALSE),FALSE))/(1 + EXP(-((VLOOKUP($Z68,SegAWS[],HLOOKUP("Form 1 Exp Coeff",SegAWS[],2,FALSE),FALSE))*($K68-(VLOOKUP($Z68,SegAWS[],HLOOKUP("Form 1 AADT Coeff",SegAWS[],2,FALSE),FALSE)))))))+(VLOOKUP($Z68,SegAWS[],HLOOKUP("Form 1 End Factor",SegAWS[],2,FALSE),FALSE)))*$X68*$J68,
IF(VLOOKUP($Z68,SegAWS[],HLOOKUP("Equation Form",SegAWS[],2,FALSE),FALSE)="Form 2",(EXP((VLOOKUP($Z68,SegAWS[],HLOOKUP("Form 2 Exp Coeff",SegAWS[],2,FALSE),FALSE)))*($K68^(VLOOKUP($Z68,SegAWS[],HLOOKUP("Form 2 AADT Coeff",SegAWS[],2,FALSE),FALSE))))*$X68*$J68,"Data Error: SPF Lookup Name")))</f>
        <v>Data Error: Segment Length</v>
      </c>
      <c r="AD68" s="42" t="e">
        <f>((1/(1+VLOOKUP($Z68,SegAWS[],HLOOKUP("Dispersion Parameter",SegAWS[],2,FALSE),FALSE)*AC68))*AC68
+(1-1/(1+VLOOKUP($Z68,SegAWS[],HLOOKUP("Dispersion Parameter",SegAWS[],2,FALSE),FALSE)*AC68))*AB68)</f>
        <v>#N/A</v>
      </c>
      <c r="AE68" s="44">
        <f t="shared" si="37"/>
        <v>0</v>
      </c>
      <c r="AF68" s="42" t="e">
        <f t="shared" si="15"/>
        <v>#VALUE!</v>
      </c>
      <c r="AG68" s="41" t="e">
        <f>((1/(1+VLOOKUP($Z68,SegAWS[],HLOOKUP("Dispersion Parameter",SegAWS[],2,FALSE),FALSE)*AF68))*AF68
+(1-1/(1+VLOOKUP($Z68,SegAWS[],HLOOKUP("Dispersion Parameter",SegAWS[],2,FALSE),FALSE)*AF68))*AE68)</f>
        <v>#N/A</v>
      </c>
      <c r="AH68" s="101">
        <f t="shared" si="51"/>
        <v>0</v>
      </c>
      <c r="AI68" s="101" t="str">
        <f t="shared" si="38"/>
        <v>Missing Data</v>
      </c>
      <c r="AJ68" s="41" t="str">
        <f t="shared" si="39"/>
        <v>Missing Data</v>
      </c>
      <c r="AK68" s="101" t="str">
        <f t="shared" si="40"/>
        <v>Missing Data</v>
      </c>
      <c r="AL68" s="41" t="str">
        <f t="shared" si="41"/>
        <v>Missing Data</v>
      </c>
      <c r="AM68" s="44">
        <f t="shared" si="42"/>
        <v>0</v>
      </c>
      <c r="AN68" s="44">
        <f t="shared" si="43"/>
        <v>0</v>
      </c>
      <c r="AO68" s="60" t="str">
        <f t="shared" si="11"/>
        <v>Missing Data</v>
      </c>
      <c r="AP68" s="107"/>
      <c r="AQ68" s="107"/>
      <c r="AR68" s="41" t="e">
        <f>VLOOKUP($Z68,SegAWS[],HLOOKUP("Dispersion Parameter",SegAWS[],2,FALSE),FALSE)</f>
        <v>#N/A</v>
      </c>
      <c r="AS68" s="42" t="e">
        <f>VLOOKUP($Z68,SegAWS[],HLOOKUP("Dispersion Parameter",SegAWS[],2,FALSE),FALSE)</f>
        <v>#N/A</v>
      </c>
      <c r="AT68" s="41" t="e">
        <f t="shared" si="44"/>
        <v>#N/A</v>
      </c>
      <c r="AU68" s="41" t="e">
        <f t="shared" si="45"/>
        <v>#VALUE!</v>
      </c>
      <c r="AV68" s="41" t="e">
        <f t="shared" si="46"/>
        <v>#N/A</v>
      </c>
      <c r="AW68" s="41" t="e">
        <f t="shared" si="47"/>
        <v>#VALUE!</v>
      </c>
    </row>
    <row r="69" spans="1:49" x14ac:dyDescent="0.3">
      <c r="A69" s="110"/>
      <c r="B69" s="101"/>
      <c r="C69" s="101"/>
      <c r="D69" s="101"/>
      <c r="E69" s="101"/>
      <c r="F69" s="101"/>
      <c r="G69" s="101"/>
      <c r="H69" s="101"/>
      <c r="I69" s="44"/>
      <c r="J69" s="41"/>
      <c r="K69" s="44"/>
      <c r="L69" s="101"/>
      <c r="M69" s="101"/>
      <c r="N69" s="101"/>
      <c r="O69" s="44"/>
      <c r="P69" s="44"/>
      <c r="Q69" s="44"/>
      <c r="R69" s="44"/>
      <c r="S69" s="44"/>
      <c r="T69" s="44"/>
      <c r="U69" s="44"/>
      <c r="V69" s="44"/>
      <c r="W69" s="101" t="str">
        <f t="shared" si="48"/>
        <v/>
      </c>
      <c r="X69" s="43">
        <f t="shared" si="49"/>
        <v>5</v>
      </c>
      <c r="Y69" s="85" t="e">
        <f>VLOOKUP(Z69,SegAWS[],HLOOKUP("AWS Name",SegAWS[],2,FALSE),FALSE)</f>
        <v>#N/A</v>
      </c>
      <c r="Z69" s="91" t="str">
        <f t="shared" si="50"/>
        <v>Data Error: Number of Lanes</v>
      </c>
      <c r="AA69" s="108" t="str">
        <f>IFERROR(VLOOKUP($Z69,SegAWS[],HLOOKUP("KABC Scaler",SegAWS[],2,FALSE),FALSE),"Data Error")</f>
        <v>Data Error</v>
      </c>
      <c r="AB69" s="44">
        <f t="shared" si="36"/>
        <v>0</v>
      </c>
      <c r="AC69" s="42" t="str">
        <f>IF($J69="","Data Error: Segment Length",
IF(VLOOKUP($Z69,SegAWS[],HLOOKUP("Equation Form",SegAWS[],2,FALSE),FALSE)="Form 1",(((VLOOKUP($Z69,SegAWS[],HLOOKUP("Form 1 Num",SegAWS[],2,FALSE),FALSE))/(1 + EXP(-((VLOOKUP($Z69,SegAWS[],HLOOKUP("Form 1 Exp Coeff",SegAWS[],2,FALSE),FALSE))*($K69-(VLOOKUP($Z69,SegAWS[],HLOOKUP("Form 1 AADT Coeff",SegAWS[],2,FALSE),FALSE)))))))+(VLOOKUP($Z69,SegAWS[],HLOOKUP("Form 1 End Factor",SegAWS[],2,FALSE),FALSE)))*$X69*$J69,
IF(VLOOKUP($Z69,SegAWS[],HLOOKUP("Equation Form",SegAWS[],2,FALSE),FALSE)="Form 2",(EXP((VLOOKUP($Z69,SegAWS[],HLOOKUP("Form 2 Exp Coeff",SegAWS[],2,FALSE),FALSE)))*($K69^(VLOOKUP($Z69,SegAWS[],HLOOKUP("Form 2 AADT Coeff",SegAWS[],2,FALSE),FALSE))))*$X69*$J69,"Data Error: SPF Lookup Name")))</f>
        <v>Data Error: Segment Length</v>
      </c>
      <c r="AD69" s="42" t="e">
        <f>((1/(1+VLOOKUP($Z69,SegAWS[],HLOOKUP("Dispersion Parameter",SegAWS[],2,FALSE),FALSE)*AC69))*AC69
+(1-1/(1+VLOOKUP($Z69,SegAWS[],HLOOKUP("Dispersion Parameter",SegAWS[],2,FALSE),FALSE)*AC69))*AB69)</f>
        <v>#N/A</v>
      </c>
      <c r="AE69" s="44">
        <f t="shared" si="37"/>
        <v>0</v>
      </c>
      <c r="AF69" s="42" t="e">
        <f t="shared" si="15"/>
        <v>#VALUE!</v>
      </c>
      <c r="AG69" s="41" t="e">
        <f>((1/(1+VLOOKUP($Z69,SegAWS[],HLOOKUP("Dispersion Parameter",SegAWS[],2,FALSE),FALSE)*AF69))*AF69
+(1-1/(1+VLOOKUP($Z69,SegAWS[],HLOOKUP("Dispersion Parameter",SegAWS[],2,FALSE),FALSE)*AF69))*AE69)</f>
        <v>#N/A</v>
      </c>
      <c r="AH69" s="101">
        <f t="shared" si="51"/>
        <v>0</v>
      </c>
      <c r="AI69" s="101" t="str">
        <f t="shared" si="38"/>
        <v>Missing Data</v>
      </c>
      <c r="AJ69" s="41" t="str">
        <f t="shared" si="39"/>
        <v>Missing Data</v>
      </c>
      <c r="AK69" s="101" t="str">
        <f t="shared" si="40"/>
        <v>Missing Data</v>
      </c>
      <c r="AL69" s="41" t="str">
        <f t="shared" si="41"/>
        <v>Missing Data</v>
      </c>
      <c r="AM69" s="44">
        <f t="shared" si="42"/>
        <v>0</v>
      </c>
      <c r="AN69" s="44">
        <f t="shared" si="43"/>
        <v>0</v>
      </c>
      <c r="AO69" s="60" t="str">
        <f t="shared" si="11"/>
        <v>Missing Data</v>
      </c>
      <c r="AP69" s="107"/>
      <c r="AQ69" s="107"/>
      <c r="AR69" s="41" t="e">
        <f>VLOOKUP($Z69,SegAWS[],HLOOKUP("Dispersion Parameter",SegAWS[],2,FALSE),FALSE)</f>
        <v>#N/A</v>
      </c>
      <c r="AS69" s="42" t="e">
        <f>VLOOKUP($Z69,SegAWS[],HLOOKUP("Dispersion Parameter",SegAWS[],2,FALSE),FALSE)</f>
        <v>#N/A</v>
      </c>
      <c r="AT69" s="41" t="e">
        <f t="shared" si="44"/>
        <v>#N/A</v>
      </c>
      <c r="AU69" s="41" t="e">
        <f t="shared" si="45"/>
        <v>#VALUE!</v>
      </c>
      <c r="AV69" s="41" t="e">
        <f t="shared" si="46"/>
        <v>#N/A</v>
      </c>
      <c r="AW69" s="41" t="e">
        <f t="shared" si="47"/>
        <v>#VALUE!</v>
      </c>
    </row>
    <row r="70" spans="1:49" x14ac:dyDescent="0.3">
      <c r="A70" s="110"/>
      <c r="B70" s="101"/>
      <c r="C70" s="101"/>
      <c r="D70" s="101"/>
      <c r="E70" s="101"/>
      <c r="F70" s="101"/>
      <c r="G70" s="101"/>
      <c r="H70" s="101"/>
      <c r="I70" s="44"/>
      <c r="J70" s="41"/>
      <c r="K70" s="44"/>
      <c r="L70" s="101"/>
      <c r="M70" s="101"/>
      <c r="N70" s="101"/>
      <c r="O70" s="44"/>
      <c r="P70" s="44"/>
      <c r="Q70" s="44"/>
      <c r="R70" s="44"/>
      <c r="S70" s="44"/>
      <c r="T70" s="44"/>
      <c r="U70" s="44"/>
      <c r="V70" s="44"/>
      <c r="W70" s="101" t="str">
        <f t="shared" si="48"/>
        <v/>
      </c>
      <c r="X70" s="43">
        <f t="shared" si="49"/>
        <v>5</v>
      </c>
      <c r="Y70" s="85" t="e">
        <f>VLOOKUP(Z70,SegAWS[],HLOOKUP("AWS Name",SegAWS[],2,FALSE),FALSE)</f>
        <v>#N/A</v>
      </c>
      <c r="Z70" s="91" t="str">
        <f t="shared" si="50"/>
        <v>Data Error: Number of Lanes</v>
      </c>
      <c r="AA70" s="108" t="str">
        <f>IFERROR(VLOOKUP($Z70,SegAWS[],HLOOKUP("KABC Scaler",SegAWS[],2,FALSE),FALSE),"Data Error")</f>
        <v>Data Error</v>
      </c>
      <c r="AB70" s="44">
        <f t="shared" si="36"/>
        <v>0</v>
      </c>
      <c r="AC70" s="42" t="str">
        <f>IF($J70="","Data Error: Segment Length",
IF(VLOOKUP($Z70,SegAWS[],HLOOKUP("Equation Form",SegAWS[],2,FALSE),FALSE)="Form 1",(((VLOOKUP($Z70,SegAWS[],HLOOKUP("Form 1 Num",SegAWS[],2,FALSE),FALSE))/(1 + EXP(-((VLOOKUP($Z70,SegAWS[],HLOOKUP("Form 1 Exp Coeff",SegAWS[],2,FALSE),FALSE))*($K70-(VLOOKUP($Z70,SegAWS[],HLOOKUP("Form 1 AADT Coeff",SegAWS[],2,FALSE),FALSE)))))))+(VLOOKUP($Z70,SegAWS[],HLOOKUP("Form 1 End Factor",SegAWS[],2,FALSE),FALSE)))*$X70*$J70,
IF(VLOOKUP($Z70,SegAWS[],HLOOKUP("Equation Form",SegAWS[],2,FALSE),FALSE)="Form 2",(EXP((VLOOKUP($Z70,SegAWS[],HLOOKUP("Form 2 Exp Coeff",SegAWS[],2,FALSE),FALSE)))*($K70^(VLOOKUP($Z70,SegAWS[],HLOOKUP("Form 2 AADT Coeff",SegAWS[],2,FALSE),FALSE))))*$X70*$J70,"Data Error: SPF Lookup Name")))</f>
        <v>Data Error: Segment Length</v>
      </c>
      <c r="AD70" s="42" t="e">
        <f>((1/(1+VLOOKUP($Z70,SegAWS[],HLOOKUP("Dispersion Parameter",SegAWS[],2,FALSE),FALSE)*AC70))*AC70
+(1-1/(1+VLOOKUP($Z70,SegAWS[],HLOOKUP("Dispersion Parameter",SegAWS[],2,FALSE),FALSE)*AC70))*AB70)</f>
        <v>#N/A</v>
      </c>
      <c r="AE70" s="44">
        <f t="shared" si="37"/>
        <v>0</v>
      </c>
      <c r="AF70" s="42" t="e">
        <f t="shared" si="15"/>
        <v>#VALUE!</v>
      </c>
      <c r="AG70" s="41" t="e">
        <f>((1/(1+VLOOKUP($Z70,SegAWS[],HLOOKUP("Dispersion Parameter",SegAWS[],2,FALSE),FALSE)*AF70))*AF70
+(1-1/(1+VLOOKUP($Z70,SegAWS[],HLOOKUP("Dispersion Parameter",SegAWS[],2,FALSE),FALSE)*AF70))*AE70)</f>
        <v>#N/A</v>
      </c>
      <c r="AH70" s="101">
        <f t="shared" si="51"/>
        <v>0</v>
      </c>
      <c r="AI70" s="101" t="str">
        <f t="shared" si="38"/>
        <v>Missing Data</v>
      </c>
      <c r="AJ70" s="41" t="str">
        <f t="shared" si="39"/>
        <v>Missing Data</v>
      </c>
      <c r="AK70" s="101" t="str">
        <f t="shared" si="40"/>
        <v>Missing Data</v>
      </c>
      <c r="AL70" s="41" t="str">
        <f t="shared" si="41"/>
        <v>Missing Data</v>
      </c>
      <c r="AM70" s="44">
        <f t="shared" si="42"/>
        <v>0</v>
      </c>
      <c r="AN70" s="44">
        <f t="shared" si="43"/>
        <v>0</v>
      </c>
      <c r="AO70" s="60" t="str">
        <f t="shared" si="11"/>
        <v>Missing Data</v>
      </c>
      <c r="AP70" s="107"/>
      <c r="AQ70" s="107"/>
      <c r="AR70" s="41" t="e">
        <f>VLOOKUP($Z70,SegAWS[],HLOOKUP("Dispersion Parameter",SegAWS[],2,FALSE),FALSE)</f>
        <v>#N/A</v>
      </c>
      <c r="AS70" s="42" t="e">
        <f>VLOOKUP($Z70,SegAWS[],HLOOKUP("Dispersion Parameter",SegAWS[],2,FALSE),FALSE)</f>
        <v>#N/A</v>
      </c>
      <c r="AT70" s="41" t="e">
        <f t="shared" si="44"/>
        <v>#N/A</v>
      </c>
      <c r="AU70" s="41" t="e">
        <f t="shared" si="45"/>
        <v>#VALUE!</v>
      </c>
      <c r="AV70" s="41" t="e">
        <f t="shared" si="46"/>
        <v>#N/A</v>
      </c>
      <c r="AW70" s="41" t="e">
        <f t="shared" si="47"/>
        <v>#VALUE!</v>
      </c>
    </row>
    <row r="71" spans="1:49" x14ac:dyDescent="0.3">
      <c r="A71" s="110"/>
      <c r="B71" s="101"/>
      <c r="C71" s="101"/>
      <c r="D71" s="101"/>
      <c r="E71" s="101"/>
      <c r="F71" s="101"/>
      <c r="G71" s="101"/>
      <c r="H71" s="101"/>
      <c r="I71" s="44"/>
      <c r="J71" s="41"/>
      <c r="K71" s="44"/>
      <c r="L71" s="101"/>
      <c r="M71" s="101"/>
      <c r="N71" s="101"/>
      <c r="O71" s="44"/>
      <c r="P71" s="44"/>
      <c r="Q71" s="44"/>
      <c r="R71" s="44"/>
      <c r="S71" s="44"/>
      <c r="T71" s="44"/>
      <c r="U71" s="44"/>
      <c r="V71" s="44"/>
      <c r="W71" s="101" t="str">
        <f t="shared" si="48"/>
        <v/>
      </c>
      <c r="X71" s="43">
        <f t="shared" si="49"/>
        <v>5</v>
      </c>
      <c r="Y71" s="85" t="e">
        <f>VLOOKUP(Z71,SegAWS[],HLOOKUP("AWS Name",SegAWS[],2,FALSE),FALSE)</f>
        <v>#N/A</v>
      </c>
      <c r="Z71" s="91" t="str">
        <f t="shared" si="50"/>
        <v>Data Error: Number of Lanes</v>
      </c>
      <c r="AA71" s="108" t="str">
        <f>IFERROR(VLOOKUP($Z71,SegAWS[],HLOOKUP("KABC Scaler",SegAWS[],2,FALSE),FALSE),"Data Error")</f>
        <v>Data Error</v>
      </c>
      <c r="AB71" s="44">
        <f t="shared" si="36"/>
        <v>0</v>
      </c>
      <c r="AC71" s="42" t="str">
        <f>IF($J71="","Data Error: Segment Length",
IF(VLOOKUP($Z71,SegAWS[],HLOOKUP("Equation Form",SegAWS[],2,FALSE),FALSE)="Form 1",(((VLOOKUP($Z71,SegAWS[],HLOOKUP("Form 1 Num",SegAWS[],2,FALSE),FALSE))/(1 + EXP(-((VLOOKUP($Z71,SegAWS[],HLOOKUP("Form 1 Exp Coeff",SegAWS[],2,FALSE),FALSE))*($K71-(VLOOKUP($Z71,SegAWS[],HLOOKUP("Form 1 AADT Coeff",SegAWS[],2,FALSE),FALSE)))))))+(VLOOKUP($Z71,SegAWS[],HLOOKUP("Form 1 End Factor",SegAWS[],2,FALSE),FALSE)))*$X71*$J71,
IF(VLOOKUP($Z71,SegAWS[],HLOOKUP("Equation Form",SegAWS[],2,FALSE),FALSE)="Form 2",(EXP((VLOOKUP($Z71,SegAWS[],HLOOKUP("Form 2 Exp Coeff",SegAWS[],2,FALSE),FALSE)))*($K71^(VLOOKUP($Z71,SegAWS[],HLOOKUP("Form 2 AADT Coeff",SegAWS[],2,FALSE),FALSE))))*$X71*$J71,"Data Error: SPF Lookup Name")))</f>
        <v>Data Error: Segment Length</v>
      </c>
      <c r="AD71" s="42" t="e">
        <f>((1/(1+VLOOKUP($Z71,SegAWS[],HLOOKUP("Dispersion Parameter",SegAWS[],2,FALSE),FALSE)*AC71))*AC71
+(1-1/(1+VLOOKUP($Z71,SegAWS[],HLOOKUP("Dispersion Parameter",SegAWS[],2,FALSE),FALSE)*AC71))*AB71)</f>
        <v>#N/A</v>
      </c>
      <c r="AE71" s="44">
        <f t="shared" si="37"/>
        <v>0</v>
      </c>
      <c r="AF71" s="42" t="e">
        <f t="shared" si="15"/>
        <v>#VALUE!</v>
      </c>
      <c r="AG71" s="41" t="e">
        <f>((1/(1+VLOOKUP($Z71,SegAWS[],HLOOKUP("Dispersion Parameter",SegAWS[],2,FALSE),FALSE)*AF71))*AF71
+(1-1/(1+VLOOKUP($Z71,SegAWS[],HLOOKUP("Dispersion Parameter",SegAWS[],2,FALSE),FALSE)*AF71))*AE71)</f>
        <v>#N/A</v>
      </c>
      <c r="AH71" s="101">
        <f t="shared" si="51"/>
        <v>0</v>
      </c>
      <c r="AI71" s="101" t="str">
        <f t="shared" si="38"/>
        <v>Missing Data</v>
      </c>
      <c r="AJ71" s="41" t="str">
        <f t="shared" si="39"/>
        <v>Missing Data</v>
      </c>
      <c r="AK71" s="101" t="str">
        <f t="shared" si="40"/>
        <v>Missing Data</v>
      </c>
      <c r="AL71" s="41" t="str">
        <f t="shared" si="41"/>
        <v>Missing Data</v>
      </c>
      <c r="AM71" s="44">
        <f t="shared" si="42"/>
        <v>0</v>
      </c>
      <c r="AN71" s="44">
        <f t="shared" si="43"/>
        <v>0</v>
      </c>
      <c r="AO71" s="60" t="str">
        <f t="shared" si="11"/>
        <v>Missing Data</v>
      </c>
      <c r="AP71" s="107"/>
      <c r="AQ71" s="107"/>
      <c r="AR71" s="41" t="e">
        <f>VLOOKUP($Z71,SegAWS[],HLOOKUP("Dispersion Parameter",SegAWS[],2,FALSE),FALSE)</f>
        <v>#N/A</v>
      </c>
      <c r="AS71" s="42" t="e">
        <f>VLOOKUP($Z71,SegAWS[],HLOOKUP("Dispersion Parameter",SegAWS[],2,FALSE),FALSE)</f>
        <v>#N/A</v>
      </c>
      <c r="AT71" s="41" t="e">
        <f t="shared" si="44"/>
        <v>#N/A</v>
      </c>
      <c r="AU71" s="41" t="e">
        <f t="shared" si="45"/>
        <v>#VALUE!</v>
      </c>
      <c r="AV71" s="41" t="e">
        <f t="shared" si="46"/>
        <v>#N/A</v>
      </c>
      <c r="AW71" s="41" t="e">
        <f t="shared" si="47"/>
        <v>#VALUE!</v>
      </c>
    </row>
    <row r="72" spans="1:49" x14ac:dyDescent="0.3">
      <c r="A72" s="110"/>
      <c r="B72" s="101"/>
      <c r="C72" s="101"/>
      <c r="D72" s="101"/>
      <c r="E72" s="101"/>
      <c r="F72" s="101"/>
      <c r="G72" s="101"/>
      <c r="H72" s="101"/>
      <c r="I72" s="44"/>
      <c r="J72" s="41"/>
      <c r="K72" s="44"/>
      <c r="L72" s="101"/>
      <c r="M72" s="101"/>
      <c r="N72" s="101"/>
      <c r="O72" s="44"/>
      <c r="P72" s="44"/>
      <c r="Q72" s="44"/>
      <c r="R72" s="44"/>
      <c r="S72" s="44"/>
      <c r="T72" s="44"/>
      <c r="U72" s="44"/>
      <c r="V72" s="44"/>
      <c r="W72" s="101" t="str">
        <f t="shared" si="48"/>
        <v/>
      </c>
      <c r="X72" s="43">
        <f t="shared" si="49"/>
        <v>5</v>
      </c>
      <c r="Y72" s="85" t="e">
        <f>VLOOKUP(Z72,SegAWS[],HLOOKUP("AWS Name",SegAWS[],2,FALSE),FALSE)</f>
        <v>#N/A</v>
      </c>
      <c r="Z72" s="91" t="str">
        <f t="shared" si="50"/>
        <v>Data Error: Number of Lanes</v>
      </c>
      <c r="AA72" s="108" t="str">
        <f>IFERROR(VLOOKUP($Z72,SegAWS[],HLOOKUP("KABC Scaler",SegAWS[],2,FALSE),FALSE),"Data Error")</f>
        <v>Data Error</v>
      </c>
      <c r="AB72" s="44">
        <f t="shared" si="36"/>
        <v>0</v>
      </c>
      <c r="AC72" s="42" t="str">
        <f>IF($J72="","Data Error: Segment Length",
IF(VLOOKUP($Z72,SegAWS[],HLOOKUP("Equation Form",SegAWS[],2,FALSE),FALSE)="Form 1",(((VLOOKUP($Z72,SegAWS[],HLOOKUP("Form 1 Num",SegAWS[],2,FALSE),FALSE))/(1 + EXP(-((VLOOKUP($Z72,SegAWS[],HLOOKUP("Form 1 Exp Coeff",SegAWS[],2,FALSE),FALSE))*($K72-(VLOOKUP($Z72,SegAWS[],HLOOKUP("Form 1 AADT Coeff",SegAWS[],2,FALSE),FALSE)))))))+(VLOOKUP($Z72,SegAWS[],HLOOKUP("Form 1 End Factor",SegAWS[],2,FALSE),FALSE)))*$X72*$J72,
IF(VLOOKUP($Z72,SegAWS[],HLOOKUP("Equation Form",SegAWS[],2,FALSE),FALSE)="Form 2",(EXP((VLOOKUP($Z72,SegAWS[],HLOOKUP("Form 2 Exp Coeff",SegAWS[],2,FALSE),FALSE)))*($K72^(VLOOKUP($Z72,SegAWS[],HLOOKUP("Form 2 AADT Coeff",SegAWS[],2,FALSE),FALSE))))*$X72*$J72,"Data Error: SPF Lookup Name")))</f>
        <v>Data Error: Segment Length</v>
      </c>
      <c r="AD72" s="42" t="e">
        <f>((1/(1+VLOOKUP($Z72,SegAWS[],HLOOKUP("Dispersion Parameter",SegAWS[],2,FALSE),FALSE)*AC72))*AC72
+(1-1/(1+VLOOKUP($Z72,SegAWS[],HLOOKUP("Dispersion Parameter",SegAWS[],2,FALSE),FALSE)*AC72))*AB72)</f>
        <v>#N/A</v>
      </c>
      <c r="AE72" s="44">
        <f t="shared" si="37"/>
        <v>0</v>
      </c>
      <c r="AF72" s="42" t="e">
        <f t="shared" si="15"/>
        <v>#VALUE!</v>
      </c>
      <c r="AG72" s="41" t="e">
        <f>((1/(1+VLOOKUP($Z72,SegAWS[],HLOOKUP("Dispersion Parameter",SegAWS[],2,FALSE),FALSE)*AF72))*AF72
+(1-1/(1+VLOOKUP($Z72,SegAWS[],HLOOKUP("Dispersion Parameter",SegAWS[],2,FALSE),FALSE)*AF72))*AE72)</f>
        <v>#N/A</v>
      </c>
      <c r="AH72" s="101">
        <f t="shared" si="51"/>
        <v>0</v>
      </c>
      <c r="AI72" s="101" t="str">
        <f t="shared" si="38"/>
        <v>Missing Data</v>
      </c>
      <c r="AJ72" s="41" t="str">
        <f t="shared" si="39"/>
        <v>Missing Data</v>
      </c>
      <c r="AK72" s="101" t="str">
        <f t="shared" si="40"/>
        <v>Missing Data</v>
      </c>
      <c r="AL72" s="41" t="str">
        <f t="shared" si="41"/>
        <v>Missing Data</v>
      </c>
      <c r="AM72" s="44">
        <f t="shared" si="42"/>
        <v>0</v>
      </c>
      <c r="AN72" s="44">
        <f t="shared" si="43"/>
        <v>0</v>
      </c>
      <c r="AO72" s="60" t="str">
        <f t="shared" si="11"/>
        <v>Missing Data</v>
      </c>
      <c r="AP72" s="107"/>
      <c r="AQ72" s="107"/>
      <c r="AR72" s="41" t="e">
        <f>VLOOKUP($Z72,SegAWS[],HLOOKUP("Dispersion Parameter",SegAWS[],2,FALSE),FALSE)</f>
        <v>#N/A</v>
      </c>
      <c r="AS72" s="42" t="e">
        <f>VLOOKUP($Z72,SegAWS[],HLOOKUP("Dispersion Parameter",SegAWS[],2,FALSE),FALSE)</f>
        <v>#N/A</v>
      </c>
      <c r="AT72" s="41" t="e">
        <f t="shared" si="44"/>
        <v>#N/A</v>
      </c>
      <c r="AU72" s="41" t="e">
        <f t="shared" si="45"/>
        <v>#VALUE!</v>
      </c>
      <c r="AV72" s="41" t="e">
        <f t="shared" si="46"/>
        <v>#N/A</v>
      </c>
      <c r="AW72" s="41" t="e">
        <f t="shared" si="47"/>
        <v>#VALUE!</v>
      </c>
    </row>
    <row r="73" spans="1:49" x14ac:dyDescent="0.3">
      <c r="A73" s="110"/>
      <c r="B73" s="101"/>
      <c r="C73" s="101"/>
      <c r="D73" s="101"/>
      <c r="E73" s="101"/>
      <c r="F73" s="101"/>
      <c r="G73" s="101"/>
      <c r="H73" s="101"/>
      <c r="I73" s="44"/>
      <c r="J73" s="41"/>
      <c r="K73" s="44"/>
      <c r="L73" s="101"/>
      <c r="M73" s="101"/>
      <c r="N73" s="101"/>
      <c r="O73" s="44"/>
      <c r="P73" s="44"/>
      <c r="Q73" s="44"/>
      <c r="R73" s="44"/>
      <c r="S73" s="44"/>
      <c r="T73" s="44"/>
      <c r="U73" s="44"/>
      <c r="V73" s="44"/>
      <c r="W73" s="101" t="str">
        <f t="shared" si="48"/>
        <v/>
      </c>
      <c r="X73" s="43">
        <f t="shared" si="49"/>
        <v>5</v>
      </c>
      <c r="Y73" s="85" t="e">
        <f>VLOOKUP(Z73,SegAWS[],HLOOKUP("AWS Name",SegAWS[],2,FALSE),FALSE)</f>
        <v>#N/A</v>
      </c>
      <c r="Z73" s="91" t="str">
        <f t="shared" si="50"/>
        <v>Data Error: Number of Lanes</v>
      </c>
      <c r="AA73" s="108" t="str">
        <f>IFERROR(VLOOKUP($Z73,SegAWS[],HLOOKUP("KABC Scaler",SegAWS[],2,FALSE),FALSE),"Data Error")</f>
        <v>Data Error</v>
      </c>
      <c r="AB73" s="44">
        <f t="shared" si="36"/>
        <v>0</v>
      </c>
      <c r="AC73" s="42" t="str">
        <f>IF($J73="","Data Error: Segment Length",
IF(VLOOKUP($Z73,SegAWS[],HLOOKUP("Equation Form",SegAWS[],2,FALSE),FALSE)="Form 1",(((VLOOKUP($Z73,SegAWS[],HLOOKUP("Form 1 Num",SegAWS[],2,FALSE),FALSE))/(1 + EXP(-((VLOOKUP($Z73,SegAWS[],HLOOKUP("Form 1 Exp Coeff",SegAWS[],2,FALSE),FALSE))*($K73-(VLOOKUP($Z73,SegAWS[],HLOOKUP("Form 1 AADT Coeff",SegAWS[],2,FALSE),FALSE)))))))+(VLOOKUP($Z73,SegAWS[],HLOOKUP("Form 1 End Factor",SegAWS[],2,FALSE),FALSE)))*$X73*$J73,
IF(VLOOKUP($Z73,SegAWS[],HLOOKUP("Equation Form",SegAWS[],2,FALSE),FALSE)="Form 2",(EXP((VLOOKUP($Z73,SegAWS[],HLOOKUP("Form 2 Exp Coeff",SegAWS[],2,FALSE),FALSE)))*($K73^(VLOOKUP($Z73,SegAWS[],HLOOKUP("Form 2 AADT Coeff",SegAWS[],2,FALSE),FALSE))))*$X73*$J73,"Data Error: SPF Lookup Name")))</f>
        <v>Data Error: Segment Length</v>
      </c>
      <c r="AD73" s="42" t="e">
        <f>((1/(1+VLOOKUP($Z73,SegAWS[],HLOOKUP("Dispersion Parameter",SegAWS[],2,FALSE),FALSE)*AC73))*AC73
+(1-1/(1+VLOOKUP($Z73,SegAWS[],HLOOKUP("Dispersion Parameter",SegAWS[],2,FALSE),FALSE)*AC73))*AB73)</f>
        <v>#N/A</v>
      </c>
      <c r="AE73" s="44">
        <f t="shared" si="37"/>
        <v>0</v>
      </c>
      <c r="AF73" s="42" t="e">
        <f t="shared" si="15"/>
        <v>#VALUE!</v>
      </c>
      <c r="AG73" s="41" t="e">
        <f>((1/(1+VLOOKUP($Z73,SegAWS[],HLOOKUP("Dispersion Parameter",SegAWS[],2,FALSE),FALSE)*AF73))*AF73
+(1-1/(1+VLOOKUP($Z73,SegAWS[],HLOOKUP("Dispersion Parameter",SegAWS[],2,FALSE),FALSE)*AF73))*AE73)</f>
        <v>#N/A</v>
      </c>
      <c r="AH73" s="101">
        <f t="shared" si="51"/>
        <v>0</v>
      </c>
      <c r="AI73" s="101" t="str">
        <f t="shared" si="38"/>
        <v>Missing Data</v>
      </c>
      <c r="AJ73" s="41" t="str">
        <f t="shared" si="39"/>
        <v>Missing Data</v>
      </c>
      <c r="AK73" s="101" t="str">
        <f t="shared" si="40"/>
        <v>Missing Data</v>
      </c>
      <c r="AL73" s="41" t="str">
        <f t="shared" si="41"/>
        <v>Missing Data</v>
      </c>
      <c r="AM73" s="44">
        <f t="shared" si="42"/>
        <v>0</v>
      </c>
      <c r="AN73" s="44">
        <f t="shared" si="43"/>
        <v>0</v>
      </c>
      <c r="AO73" s="60" t="str">
        <f t="shared" si="11"/>
        <v>Missing Data</v>
      </c>
      <c r="AP73" s="107"/>
      <c r="AQ73" s="107"/>
      <c r="AR73" s="41" t="e">
        <f>VLOOKUP($Z73,SegAWS[],HLOOKUP("Dispersion Parameter",SegAWS[],2,FALSE),FALSE)</f>
        <v>#N/A</v>
      </c>
      <c r="AS73" s="42" t="e">
        <f>VLOOKUP($Z73,SegAWS[],HLOOKUP("Dispersion Parameter",SegAWS[],2,FALSE),FALSE)</f>
        <v>#N/A</v>
      </c>
      <c r="AT73" s="41" t="e">
        <f t="shared" si="44"/>
        <v>#N/A</v>
      </c>
      <c r="AU73" s="41" t="e">
        <f t="shared" si="45"/>
        <v>#VALUE!</v>
      </c>
      <c r="AV73" s="41" t="e">
        <f t="shared" si="46"/>
        <v>#N/A</v>
      </c>
      <c r="AW73" s="41" t="e">
        <f t="shared" si="47"/>
        <v>#VALUE!</v>
      </c>
    </row>
    <row r="74" spans="1:49" x14ac:dyDescent="0.3">
      <c r="A74" s="110"/>
      <c r="B74" s="101"/>
      <c r="C74" s="101"/>
      <c r="D74" s="101"/>
      <c r="E74" s="101"/>
      <c r="F74" s="101"/>
      <c r="G74" s="101"/>
      <c r="H74" s="101"/>
      <c r="I74" s="44"/>
      <c r="J74" s="41"/>
      <c r="K74" s="44"/>
      <c r="L74" s="101"/>
      <c r="M74" s="101"/>
      <c r="N74" s="101"/>
      <c r="O74" s="44"/>
      <c r="P74" s="44"/>
      <c r="Q74" s="44"/>
      <c r="R74" s="44"/>
      <c r="S74" s="44"/>
      <c r="T74" s="44"/>
      <c r="U74" s="44"/>
      <c r="V74" s="44"/>
      <c r="W74" s="101" t="str">
        <f t="shared" ref="W74:W79" si="52">SUBSTITUTE(SUBSTITUTE(SUBSTITUTE(N74,CHAR(34),""),"[", ""),"]", "")</f>
        <v/>
      </c>
      <c r="X74" s="43">
        <f t="shared" ref="X74:X79" si="53">$X$4</f>
        <v>5</v>
      </c>
      <c r="Y74" s="85" t="e">
        <f>VLOOKUP(Z74,SegAWS[],HLOOKUP("AWS Name",SegAWS[],2,FALSE),FALSE)</f>
        <v>#N/A</v>
      </c>
      <c r="Z74" s="91" t="str">
        <f t="shared" ref="Z74:Z79" si="54">IF(OR($I74=0,$I74=""),"Data Error: Number of Lanes",
IF($D74="Local Road",
IF($E74="Rural",IF($F74="Non-Freeway",
IF($G74="Divided",IF(_xlfn.NUMBERVALUE($I74)&lt;3,IF(_xlfn.NUMBERVALUE($K74)&lt;1,"L_R_DataError",IF(_xlfn.NUMBERVALUE($K74)&lt;251,"L_R_Non_Divided_2Lane_0-250",IF(_xlfn.NUMBERVALUE($K74)&lt;401,"L_R_Non_Divided_2Lane_251-400",IF(_xlfn.NUMBERVALUE($K74)&lt;751,"L_R_Non_Divided_2Lane_401-750",IF(_xlfn.NUMBERVALUE($K74)&lt;1501,"L_R_Non_Divided_2Lane_751-1500",IF(_xlfn.NUMBERVALUE($K74)&lt;3501,"L_R_Non_Divided_2Lane_1501-3500","L_R_Non_Divided_2Lane_3501+")))))),"L_R_Non_Divided_3+Lane_0+"),
IF($G74="Undivided",IF(_xlfn.NUMBERVALUE($I74)&lt;3,IF(_xlfn.NUMBERVALUE($K74)&lt;1,"L_R_DataError",IF(_xlfn.NUMBERVALUE($K74)&lt;251,"L_R_Non_Undivided_2Lane_0-250",IF(_xlfn.NUMBERVALUE($K74)&lt;401,"L_R_Non_Undivided_2Lane_251-400",IF(_xlfn.NUMBERVALUE($K74)&lt;751,"L_R_Non_Undivided_2Lane_401-750",IF(_xlfn.NUMBERVALUE($K74)&lt;1501,"L_R_Non_Undivided_2Lane_751-1500",IF(_xlfn.NUMBERVALUE($K74)&lt;3501,"L_R_Non_Undivided_2Lane_1501-3500","L_R_Non_Undivided_2Lane_3501+")))))),"L_R_Non_Undivided_3+Lane_0+"),"Data Error: Divided/Undivided")),"Data Error: Freeway/Non-Freeway"),
IF($E74="Urban",IF($F74="Non-Freeway",
IF($G74="Divided",IF(_xlfn.NUMBERVALUE($I74)&lt;3,IF(_xlfn.NUMBERVALUE($K74)&lt;1,"L_U_DataError",IF(_xlfn.NUMBERVALUE($K74)&lt;251,"L_U_Non_Divided_2Lane_0-250",IF(_xlfn.NUMBERVALUE($K74)&lt;401,"L_U_Non_Divided_2Lane_251-400",IF(_xlfn.NUMBERVALUE($K74)&lt;751,"L_U_Non_Divided_2Lane_401-750",IF(_xlfn.NUMBERVALUE($K74)&lt;1501,"L_U_Non_Divided_2Lane_751-1500",IF(_xlfn.NUMBERVALUE($K74)&lt;3501,"L_U_Non_Divided_2Lane_1501-3500",IF(_xlfn.NUMBERVALUE($K74)&lt;7001,"L_U_Non_Divided_2Lane_3501-7000","L_U_Non_Divided_2Lane_7001+"))))))),"L_U_Non_Divided_3+Lane_0+"),
IF($G74="Undivided",IF(_xlfn.NUMBERVALUE($I74)&lt;3,IF(_xlfn.NUMBERVALUE($K74)&lt;1,"L_U_DataError",IF(_xlfn.NUMBERVALUE($K74)&lt;251,"L_U_Non_Undivided_2Lane_0-250",IF(_xlfn.NUMBERVALUE($K74)&lt;401,"L_U_Non_Undivided_2Lane_251-400",IF(_xlfn.NUMBERVALUE($K74)&lt;751,"L_U_Non_Undivided_2Lane_401-750",IF(_xlfn.NUMBERVALUE($K74)&lt;1501,"L_U_Non_Undivided_2Lane_751-1500",IF(_xlfn.NUMBERVALUE($K74)&lt;3501,"L_U_Non_Undivided_2Lane_1501-3500",IF(_xlfn.NUMBERVALUE($K74)&lt;7001,"L_U_Non_Undivided_2Lane_3501-7000","L_U_Non_Undivided_2Lane_7001+"))))))),"L_U_Non_Undivided_3+Lane_0+"),"Data Error: Divided/Undivided")),"Data Error: Freeway/Non-Freeway"),"Data Error: Area Type")),
IF($D74="State Highway",
IF($E74="Rural",
IF($F74="Non-Freeway",IF(_xlfn.NUMBERVALUE($K74)&lt;1,"S_R_Non_DataError",IF($H74="TWLTL","S_R_Non_TWLTL_1+Lanes_0+",
IF($G74="Divided",IF(_xlfn.NUMBERVALUE($I74)&lt;3,"S_R_Non_Divided_2Lane_0+",IF(_xlfn.NUMBERVALUE($I74)&lt;5,IF(_xlfn.NUMBERVALUE($K74)&lt;10001,"S_R_Non_Divided_4Lane_0-10000",IF(_xlfn.NUMBERVALUE($K74)&lt;17501,"S_R_Non_Divided_4Lane_10001-17500","S_R_Non_Divided_4Lane_17501+")),"S_R_Non_Divided_5+Lane_0+")),
IF($G74="Undivided",IF(_xlfn.NUMBERVALUE($I74)&lt;3,IF(_xlfn.NUMBERVALUE($K74)&lt;1501,"S_R_Non_Undivided_2Lane_0-1500",IF(_xlfn.NUMBERVALUE($K74)&lt;3501,"S_R_Non_Undivided_2Lane_1501-3500",IF(_xlfn.NUMBERVALUE($K74)&lt;7001,"S_R_Non_Undivided_2Lane_3501-7000","S_R_Non_Undivided_2Lane_7001+"))),"S_R_Non_Undivided_3+Lanes_0+"),"Data Error: Divided/Undivided")))),
IF($F74="Freeway",IF(_xlfn.NUMBERVALUE($K74)&lt;1,"S_R_Free_DataError",
IF($G74="Undivided","S_R_Free_Undivided_1+Lane_0+",
IF($G74="Divided",IF(_xlfn.NUMBERVALUE($I74)&lt;3,"S_R_Free_Divided_2Lane_501+",IF(_xlfn.NUMBERVALUE($I74)&lt;5,IF(_xlfn.NUMBERVALUE($K74)&lt;15001,"S_R_Free_Divided_4Lane_501-15000",IF(_xlfn.NUMBERVALUE($K74)&lt;30001,"S_R_Free_Divided_4Lane_15001-30000","S_R_Free_Divided_4Lane_30001+")),"S_R_Free_Divided_5+Lane_0+")),"Data Error: Divided/Undivided"))),"Data Error: Freeway/Non-Freeway")),
IF($E74="Urban",
IF($F74="Non-Freeway",IF(_xlfn.NUMBERVALUE($K74)&lt;1,"S_U_Non_DataError",IF($H74="TWLTL","S_U_Non_TWLTL_1+Lanes_0+",
IF($G74="Divided",IF(_xlfn.NUMBERVALUE($I74)&lt;3,"S_U_Non_Divided_2Lane_0+",IF(_xlfn.NUMBERVALUE($I74)&lt;5,IF(_xlfn.NUMBERVALUE($K74)&lt;8001,"S_U_Non_Divided_4Lane_0-8000",IF(_xlfn.NUMBERVALUE($K74)&lt;17501,"S_U_Non_Divided_4Lane_8001-17500",IF(_xlfn.NUMBERVALUE($K74)&lt;24001,"S_U_Non_Divided_4Lane_17501-24000","S_U_Non_Divided_4Lane_24001+"))),"S_U_Non_Divided_5+Lane_0+")),
IF($G74="Undivided",IF(_xlfn.NUMBERVALUE($I74)&lt;3,IF(_xlfn.NUMBERVALUE($K74)&lt;4501,"S_U_Non_Undivided_2Lane_0-4500",IF(_xlfn.NUMBERVALUE($K74)&lt;7001,"S_U_Non_Undivided_2Lane_4501-7000","S_U_Non_Undivided_2Lane_7001+")),"S_U_Non_Undivided_4Lane_0+"),"Data Error: Divided/Undivided")))),
IF($F74="Freeway",IF(_xlfn.NUMBERVALUE($K74)&lt;1,"S_U_Free_DataError",
IF($G74="Undivided","S_U_Free_Undivided_1+Lane_0+",
IF($G74="Divided",IF(_xlfn.NUMBERVALUE($I74)&lt;3,"S_U_Free_Divided_2Lane_501+",IF(_xlfn.NUMBERVALUE($I74)&lt;5,IF(_xlfn.NUMBERVALUE($K74)&lt;20001,"S_U_Free_Divided_4Lane_501-20000",IF(_xlfn.NUMBERVALUE($K74)&lt;35001,"S_U_Free_Divided_4Lane_20001-35000","S_U_Free_Divided_4Lane_35001+")),IF(_xlfn.NUMBERVALUE($I74)&lt;7,"S_U_Free_Divided_6Lane_0+","S_U_Free_Divided_7+Lane_0+"))),"Data Error: Divided/Undivided"))),"Data Error: Freeway/Non-Freeway")),"Data Error: Area Type")),"Data Error: Roadway System")))</f>
        <v>Data Error: Number of Lanes</v>
      </c>
      <c r="AA74" s="108" t="str">
        <f>IFERROR(VLOOKUP($Z74,SegAWS[],HLOOKUP("KABC Scaler",SegAWS[],2,FALSE),FALSE),"Data Error")</f>
        <v>Data Error</v>
      </c>
      <c r="AB74" s="44">
        <f t="shared" si="36"/>
        <v>0</v>
      </c>
      <c r="AC74" s="42" t="str">
        <f>IF($J74="","Data Error: Segment Length",
IF(VLOOKUP($Z74,SegAWS[],HLOOKUP("Equation Form",SegAWS[],2,FALSE),FALSE)="Form 1",(((VLOOKUP($Z74,SegAWS[],HLOOKUP("Form 1 Num",SegAWS[],2,FALSE),FALSE))/(1 + EXP(-((VLOOKUP($Z74,SegAWS[],HLOOKUP("Form 1 Exp Coeff",SegAWS[],2,FALSE),FALSE))*($K74-(VLOOKUP($Z74,SegAWS[],HLOOKUP("Form 1 AADT Coeff",SegAWS[],2,FALSE),FALSE)))))))+(VLOOKUP($Z74,SegAWS[],HLOOKUP("Form 1 End Factor",SegAWS[],2,FALSE),FALSE)))*$X74*$J74,
IF(VLOOKUP($Z74,SegAWS[],HLOOKUP("Equation Form",SegAWS[],2,FALSE),FALSE)="Form 2",(EXP((VLOOKUP($Z74,SegAWS[],HLOOKUP("Form 2 Exp Coeff",SegAWS[],2,FALSE),FALSE)))*($K74^(VLOOKUP($Z74,SegAWS[],HLOOKUP("Form 2 AADT Coeff",SegAWS[],2,FALSE),FALSE))))*$X74*$J74,"Data Error: SPF Lookup Name")))</f>
        <v>Data Error: Segment Length</v>
      </c>
      <c r="AD74" s="42" t="e">
        <f>((1/(1+VLOOKUP($Z74,SegAWS[],HLOOKUP("Dispersion Parameter",SegAWS[],2,FALSE),FALSE)*AC74))*AC74
+(1-1/(1+VLOOKUP($Z74,SegAWS[],HLOOKUP("Dispersion Parameter",SegAWS[],2,FALSE),FALSE)*AC74))*AB74)</f>
        <v>#N/A</v>
      </c>
      <c r="AE74" s="44">
        <f t="shared" si="37"/>
        <v>0</v>
      </c>
      <c r="AF74" s="42" t="e">
        <f t="shared" si="15"/>
        <v>#VALUE!</v>
      </c>
      <c r="AG74" s="41" t="e">
        <f>((1/(1+VLOOKUP($Z74,SegAWS[],HLOOKUP("Dispersion Parameter",SegAWS[],2,FALSE),FALSE)*AF74))*AF74
+(1-1/(1+VLOOKUP($Z74,SegAWS[],HLOOKUP("Dispersion Parameter",SegAWS[],2,FALSE),FALSE)*AF74))*AE74)</f>
        <v>#N/A</v>
      </c>
      <c r="AH74" s="101">
        <f t="shared" ref="AH74:AH79" si="55">A74</f>
        <v>0</v>
      </c>
      <c r="AI74" s="101" t="str">
        <f t="shared" si="38"/>
        <v>Missing Data</v>
      </c>
      <c r="AJ74" s="41" t="str">
        <f t="shared" si="39"/>
        <v>Missing Data</v>
      </c>
      <c r="AK74" s="101" t="str">
        <f t="shared" si="40"/>
        <v>Missing Data</v>
      </c>
      <c r="AL74" s="41" t="str">
        <f t="shared" si="41"/>
        <v>Missing Data</v>
      </c>
      <c r="AM74" s="44">
        <f t="shared" si="42"/>
        <v>0</v>
      </c>
      <c r="AN74" s="44">
        <f t="shared" si="43"/>
        <v>0</v>
      </c>
      <c r="AO74" s="60" t="str">
        <f t="shared" ref="AO74:AO79" si="56">IF(OR(AI74="Missing Data",AJ74="Missing Data",AK74="Missing Data",AL74="Missing Data"),"Missing Data",
IF(OR(AM74&gt;0,AN74&gt;0,AND(AB74&gt;1,OR(AI74="LOSS 4", AK74="LOSS 4"))),"Yes","No"))</f>
        <v>Missing Data</v>
      </c>
      <c r="AP74" s="107"/>
      <c r="AQ74" s="107"/>
      <c r="AR74" s="41" t="e">
        <f>VLOOKUP($Z74,SegAWS[],HLOOKUP("Dispersion Parameter",SegAWS[],2,FALSE),FALSE)</f>
        <v>#N/A</v>
      </c>
      <c r="AS74" s="42" t="e">
        <f>VLOOKUP($Z74,SegAWS[],HLOOKUP("Dispersion Parameter",SegAWS[],2,FALSE),FALSE)</f>
        <v>#N/A</v>
      </c>
      <c r="AT74" s="41" t="e">
        <f t="shared" si="44"/>
        <v>#N/A</v>
      </c>
      <c r="AU74" s="41" t="e">
        <f t="shared" si="45"/>
        <v>#VALUE!</v>
      </c>
      <c r="AV74" s="41" t="e">
        <f t="shared" si="46"/>
        <v>#N/A</v>
      </c>
      <c r="AW74" s="41" t="e">
        <f t="shared" si="47"/>
        <v>#VALUE!</v>
      </c>
    </row>
    <row r="75" spans="1:49" x14ac:dyDescent="0.3">
      <c r="A75" s="110"/>
      <c r="B75" s="101"/>
      <c r="C75" s="101"/>
      <c r="D75" s="101"/>
      <c r="E75" s="101"/>
      <c r="F75" s="101"/>
      <c r="G75" s="101"/>
      <c r="H75" s="101"/>
      <c r="I75" s="44"/>
      <c r="J75" s="41"/>
      <c r="K75" s="44"/>
      <c r="L75" s="101"/>
      <c r="M75" s="101"/>
      <c r="N75" s="101"/>
      <c r="O75" s="44"/>
      <c r="P75" s="44"/>
      <c r="Q75" s="44"/>
      <c r="R75" s="44"/>
      <c r="S75" s="44"/>
      <c r="T75" s="44"/>
      <c r="U75" s="44"/>
      <c r="V75" s="44"/>
      <c r="W75" s="101" t="str">
        <f t="shared" si="52"/>
        <v/>
      </c>
      <c r="X75" s="43">
        <f t="shared" si="53"/>
        <v>5</v>
      </c>
      <c r="Y75" s="85" t="e">
        <f>VLOOKUP(Z75,SegAWS[],HLOOKUP("AWS Name",SegAWS[],2,FALSE),FALSE)</f>
        <v>#N/A</v>
      </c>
      <c r="Z75" s="91" t="str">
        <f t="shared" si="54"/>
        <v>Data Error: Number of Lanes</v>
      </c>
      <c r="AA75" s="108" t="str">
        <f>IFERROR(VLOOKUP($Z75,SegAWS[],HLOOKUP("KABC Scaler",SegAWS[],2,FALSE),FALSE),"Data Error")</f>
        <v>Data Error</v>
      </c>
      <c r="AB75" s="44">
        <f t="shared" si="36"/>
        <v>0</v>
      </c>
      <c r="AC75" s="42" t="str">
        <f>IF($J75="","Data Error: Segment Length",
IF(VLOOKUP($Z75,SegAWS[],HLOOKUP("Equation Form",SegAWS[],2,FALSE),FALSE)="Form 1",(((VLOOKUP($Z75,SegAWS[],HLOOKUP("Form 1 Num",SegAWS[],2,FALSE),FALSE))/(1 + EXP(-((VLOOKUP($Z75,SegAWS[],HLOOKUP("Form 1 Exp Coeff",SegAWS[],2,FALSE),FALSE))*($K75-(VLOOKUP($Z75,SegAWS[],HLOOKUP("Form 1 AADT Coeff",SegAWS[],2,FALSE),FALSE)))))))+(VLOOKUP($Z75,SegAWS[],HLOOKUP("Form 1 End Factor",SegAWS[],2,FALSE),FALSE)))*$X75*$J75,
IF(VLOOKUP($Z75,SegAWS[],HLOOKUP("Equation Form",SegAWS[],2,FALSE),FALSE)="Form 2",(EXP((VLOOKUP($Z75,SegAWS[],HLOOKUP("Form 2 Exp Coeff",SegAWS[],2,FALSE),FALSE)))*($K75^(VLOOKUP($Z75,SegAWS[],HLOOKUP("Form 2 AADT Coeff",SegAWS[],2,FALSE),FALSE))))*$X75*$J75,"Data Error: SPF Lookup Name")))</f>
        <v>Data Error: Segment Length</v>
      </c>
      <c r="AD75" s="42" t="e">
        <f>((1/(1+VLOOKUP($Z75,SegAWS[],HLOOKUP("Dispersion Parameter",SegAWS[],2,FALSE),FALSE)*AC75))*AC75
+(1-1/(1+VLOOKUP($Z75,SegAWS[],HLOOKUP("Dispersion Parameter",SegAWS[],2,FALSE),FALSE)*AC75))*AB75)</f>
        <v>#N/A</v>
      </c>
      <c r="AE75" s="44">
        <f t="shared" si="37"/>
        <v>0</v>
      </c>
      <c r="AF75" s="42" t="e">
        <f t="shared" ref="AF75:AF79" si="57">$AC75*$AA75</f>
        <v>#VALUE!</v>
      </c>
      <c r="AG75" s="41" t="e">
        <f>((1/(1+VLOOKUP($Z75,SegAWS[],HLOOKUP("Dispersion Parameter",SegAWS[],2,FALSE),FALSE)*AF75))*AF75
+(1-1/(1+VLOOKUP($Z75,SegAWS[],HLOOKUP("Dispersion Parameter",SegAWS[],2,FALSE),FALSE)*AF75))*AE75)</f>
        <v>#N/A</v>
      </c>
      <c r="AH75" s="101">
        <f t="shared" si="55"/>
        <v>0</v>
      </c>
      <c r="AI75" s="101" t="str">
        <f t="shared" si="38"/>
        <v>Missing Data</v>
      </c>
      <c r="AJ75" s="41" t="str">
        <f t="shared" si="39"/>
        <v>Missing Data</v>
      </c>
      <c r="AK75" s="101" t="str">
        <f t="shared" si="40"/>
        <v>Missing Data</v>
      </c>
      <c r="AL75" s="41" t="str">
        <f t="shared" si="41"/>
        <v>Missing Data</v>
      </c>
      <c r="AM75" s="44">
        <f t="shared" si="42"/>
        <v>0</v>
      </c>
      <c r="AN75" s="44">
        <f t="shared" si="43"/>
        <v>0</v>
      </c>
      <c r="AO75" s="60" t="str">
        <f t="shared" si="56"/>
        <v>Missing Data</v>
      </c>
      <c r="AP75" s="107"/>
      <c r="AQ75" s="107"/>
      <c r="AR75" s="41" t="e">
        <f>VLOOKUP($Z75,SegAWS[],HLOOKUP("Dispersion Parameter",SegAWS[],2,FALSE),FALSE)</f>
        <v>#N/A</v>
      </c>
      <c r="AS75" s="42" t="e">
        <f>VLOOKUP($Z75,SegAWS[],HLOOKUP("Dispersion Parameter",SegAWS[],2,FALSE),FALSE)</f>
        <v>#N/A</v>
      </c>
      <c r="AT75" s="41" t="e">
        <f t="shared" si="44"/>
        <v>#N/A</v>
      </c>
      <c r="AU75" s="41" t="e">
        <f t="shared" si="45"/>
        <v>#VALUE!</v>
      </c>
      <c r="AV75" s="41" t="e">
        <f t="shared" si="46"/>
        <v>#N/A</v>
      </c>
      <c r="AW75" s="41" t="e">
        <f t="shared" si="47"/>
        <v>#VALUE!</v>
      </c>
    </row>
    <row r="76" spans="1:49" x14ac:dyDescent="0.3">
      <c r="A76" s="110"/>
      <c r="B76" s="101"/>
      <c r="C76" s="101"/>
      <c r="D76" s="101"/>
      <c r="E76" s="101"/>
      <c r="F76" s="101"/>
      <c r="G76" s="101"/>
      <c r="H76" s="101"/>
      <c r="I76" s="44"/>
      <c r="J76" s="41"/>
      <c r="K76" s="44"/>
      <c r="L76" s="101"/>
      <c r="M76" s="101"/>
      <c r="N76" s="101"/>
      <c r="O76" s="44"/>
      <c r="P76" s="44"/>
      <c r="Q76" s="44"/>
      <c r="R76" s="44"/>
      <c r="S76" s="44"/>
      <c r="T76" s="44"/>
      <c r="U76" s="44"/>
      <c r="V76" s="44"/>
      <c r="W76" s="101" t="str">
        <f t="shared" si="52"/>
        <v/>
      </c>
      <c r="X76" s="43">
        <f t="shared" si="53"/>
        <v>5</v>
      </c>
      <c r="Y76" s="85" t="e">
        <f>VLOOKUP(Z76,SegAWS[],HLOOKUP("AWS Name",SegAWS[],2,FALSE),FALSE)</f>
        <v>#N/A</v>
      </c>
      <c r="Z76" s="91" t="str">
        <f t="shared" si="54"/>
        <v>Data Error: Number of Lanes</v>
      </c>
      <c r="AA76" s="108" t="str">
        <f>IFERROR(VLOOKUP($Z76,SegAWS[],HLOOKUP("KABC Scaler",SegAWS[],2,FALSE),FALSE),"Data Error")</f>
        <v>Data Error</v>
      </c>
      <c r="AB76" s="44">
        <f t="shared" ref="AB76:AB79" si="58">SUM(Q76:V76)</f>
        <v>0</v>
      </c>
      <c r="AC76" s="41" t="str">
        <f>IF($J76="","Data Error: Segment Length",
IF(VLOOKUP($Z76,SegAWS[],HLOOKUP("Equation Form",SegAWS[],2,FALSE),FALSE)="Form 1",(((VLOOKUP($Z76,SegAWS[],HLOOKUP("Form 1 Num",SegAWS[],2,FALSE),FALSE))/(1 + EXP(-((VLOOKUP($Z76,SegAWS[],HLOOKUP("Form 1 Exp Coeff",SegAWS[],2,FALSE),FALSE))*($K76-(VLOOKUP($Z76,SegAWS[],HLOOKUP("Form 1 AADT Coeff",SegAWS[],2,FALSE),FALSE)))))))+(VLOOKUP($Z76,SegAWS[],HLOOKUP("Form 1 End Factor",SegAWS[],2,FALSE),FALSE)))*$X76*$J76,
IF(VLOOKUP($Z76,SegAWS[],HLOOKUP("Equation Form",SegAWS[],2,FALSE),FALSE)="Form 2",(EXP((VLOOKUP($Z76,SegAWS[],HLOOKUP("Form 2 Exp Coeff",SegAWS[],2,FALSE),FALSE)))*($K76^(VLOOKUP($Z76,SegAWS[],HLOOKUP("Form 2 AADT Coeff",SegAWS[],2,FALSE),FALSE))))*$X76*$J76,"Data Error: SPF Lookup Name")))</f>
        <v>Data Error: Segment Length</v>
      </c>
      <c r="AD76" s="41" t="e">
        <f>((1/(1+VLOOKUP($Z76,SegAWS[],HLOOKUP("Dispersion Parameter",SegAWS[],2,FALSE),FALSE)*AC76))*AC76
+(1-1/(1+VLOOKUP($Z76,SegAWS[],HLOOKUP("Dispersion Parameter",SegAWS[],2,FALSE),FALSE)*AC76))*AB76)</f>
        <v>#N/A</v>
      </c>
      <c r="AE76" s="44">
        <f t="shared" ref="AE76:AE79" si="59">SUM(Q76:T76)</f>
        <v>0</v>
      </c>
      <c r="AF76" s="42" t="e">
        <f t="shared" si="57"/>
        <v>#VALUE!</v>
      </c>
      <c r="AG76" s="41" t="e">
        <f>((1/(1+VLOOKUP($Z76,SegAWS[],HLOOKUP("Dispersion Parameter",SegAWS[],2,FALSE),FALSE)*AF76))*AF76
+(1-1/(1+VLOOKUP($Z76,SegAWS[],HLOOKUP("Dispersion Parameter",SegAWS[],2,FALSE),FALSE)*AF76))*AE76)</f>
        <v>#N/A</v>
      </c>
      <c r="AH76" s="101">
        <f t="shared" si="55"/>
        <v>0</v>
      </c>
      <c r="AI76" s="101" t="str">
        <f t="shared" ref="AI76:AI79" si="60">IFERROR(IF(AD76&lt;_xlfn.GAMMA.INV($AT$4,AT76,AU76),"LOSS 1",
IF(AD76&lt;AC76,"LOSS 2",
IF(AD76&lt;_xlfn.GAMMA.INV($AV$4,AT76,AU76),"LOSS 3",
IF(AD76&gt;=_xlfn.GAMMA.INV($AV$4,AT76,AU76),"LOSS 4","Error")))),"Missing Data")</f>
        <v>Missing Data</v>
      </c>
      <c r="AJ76" s="41" t="str">
        <f t="shared" ref="AJ76:AJ79" si="61">IFERROR(AD76-AC76,"Missing Data")</f>
        <v>Missing Data</v>
      </c>
      <c r="AK76" s="101" t="str">
        <f t="shared" ref="AK76:AK79" si="62">IFERROR(IF(AG76&lt;_xlfn.GAMMA.INV($AU$4,AV76,AW76),"LOSS 1",
IF(AG76&lt;AF76,"LOSS 2",
IF(AG76&lt;_xlfn.GAMMA.INV($AW$4,AV76,AW76),"LOSS 3",
IF(AG76&gt;=_xlfn.GAMMA.INV($AW$4,AV76,AW76),"LOSS 4","Error")))),"Missing Data")</f>
        <v>Missing Data</v>
      </c>
      <c r="AL76" s="41" t="str">
        <f t="shared" ref="AL76:AL79" si="63">IFERROR(AG76-AF76,"Missing Data")</f>
        <v>Missing Data</v>
      </c>
      <c r="AM76" s="44">
        <f t="shared" ref="AM76:AM79" si="64">O76</f>
        <v>0</v>
      </c>
      <c r="AN76" s="44">
        <f t="shared" ref="AN76:AN79" si="65">P76</f>
        <v>0</v>
      </c>
      <c r="AO76" s="60" t="str">
        <f t="shared" si="56"/>
        <v>Missing Data</v>
      </c>
      <c r="AP76" s="107"/>
      <c r="AQ76" s="107"/>
      <c r="AR76" s="41" t="e">
        <f>VLOOKUP($Z76,SegAWS[],HLOOKUP("Dispersion Parameter",SegAWS[],2,FALSE),FALSE)</f>
        <v>#N/A</v>
      </c>
      <c r="AS76" s="42" t="e">
        <f>VLOOKUP($Z76,SegAWS[],HLOOKUP("Dispersion Parameter",SegAWS[],2,FALSE),FALSE)</f>
        <v>#N/A</v>
      </c>
      <c r="AT76" s="41" t="e">
        <f t="shared" ref="AT76:AT79" si="66">1/AR76</f>
        <v>#N/A</v>
      </c>
      <c r="AU76" s="41" t="e">
        <f t="shared" ref="AU76:AU79" si="67">AC76/AT76</f>
        <v>#VALUE!</v>
      </c>
      <c r="AV76" s="41" t="e">
        <f t="shared" ref="AV76:AV79" si="68">1/AS76</f>
        <v>#N/A</v>
      </c>
      <c r="AW76" s="41" t="e">
        <f t="shared" ref="AW76:AW79" si="69">AF76/AV76</f>
        <v>#VALUE!</v>
      </c>
    </row>
    <row r="77" spans="1:49" x14ac:dyDescent="0.3">
      <c r="A77" s="110"/>
      <c r="B77" s="101"/>
      <c r="C77" s="101"/>
      <c r="D77" s="101"/>
      <c r="E77" s="101"/>
      <c r="F77" s="101"/>
      <c r="G77" s="101"/>
      <c r="H77" s="101"/>
      <c r="I77" s="44"/>
      <c r="J77" s="41"/>
      <c r="K77" s="44"/>
      <c r="L77" s="101"/>
      <c r="M77" s="101"/>
      <c r="N77" s="101"/>
      <c r="O77" s="44"/>
      <c r="P77" s="44"/>
      <c r="Q77" s="44"/>
      <c r="R77" s="44"/>
      <c r="S77" s="44"/>
      <c r="T77" s="44"/>
      <c r="U77" s="44"/>
      <c r="V77" s="44"/>
      <c r="W77" s="101" t="str">
        <f t="shared" si="52"/>
        <v/>
      </c>
      <c r="X77" s="43">
        <f t="shared" si="53"/>
        <v>5</v>
      </c>
      <c r="Y77" s="85" t="e">
        <f>VLOOKUP(Z77,SegAWS[],HLOOKUP("AWS Name",SegAWS[],2,FALSE),FALSE)</f>
        <v>#N/A</v>
      </c>
      <c r="Z77" s="91" t="str">
        <f t="shared" si="54"/>
        <v>Data Error: Number of Lanes</v>
      </c>
      <c r="AA77" s="108" t="str">
        <f>IFERROR(VLOOKUP($Z77,SegAWS[],HLOOKUP("KABC Scaler",SegAWS[],2,FALSE),FALSE),"Data Error")</f>
        <v>Data Error</v>
      </c>
      <c r="AB77" s="44">
        <f t="shared" si="58"/>
        <v>0</v>
      </c>
      <c r="AC77" s="41" t="str">
        <f>IF($J77="","Data Error: Segment Length",
IF(VLOOKUP($Z77,SegAWS[],HLOOKUP("Equation Form",SegAWS[],2,FALSE),FALSE)="Form 1",(((VLOOKUP($Z77,SegAWS[],HLOOKUP("Form 1 Num",SegAWS[],2,FALSE),FALSE))/(1 + EXP(-((VLOOKUP($Z77,SegAWS[],HLOOKUP("Form 1 Exp Coeff",SegAWS[],2,FALSE),FALSE))*($K77-(VLOOKUP($Z77,SegAWS[],HLOOKUP("Form 1 AADT Coeff",SegAWS[],2,FALSE),FALSE)))))))+(VLOOKUP($Z77,SegAWS[],HLOOKUP("Form 1 End Factor",SegAWS[],2,FALSE),FALSE)))*$X77*$J77,
IF(VLOOKUP($Z77,SegAWS[],HLOOKUP("Equation Form",SegAWS[],2,FALSE),FALSE)="Form 2",(EXP((VLOOKUP($Z77,SegAWS[],HLOOKUP("Form 2 Exp Coeff",SegAWS[],2,FALSE),FALSE)))*($K77^(VLOOKUP($Z77,SegAWS[],HLOOKUP("Form 2 AADT Coeff",SegAWS[],2,FALSE),FALSE))))*$X77*$J77,"Data Error: SPF Lookup Name")))</f>
        <v>Data Error: Segment Length</v>
      </c>
      <c r="AD77" s="41" t="e">
        <f>((1/(1+VLOOKUP($Z77,SegAWS[],HLOOKUP("Dispersion Parameter",SegAWS[],2,FALSE),FALSE)*AC77))*AC77
+(1-1/(1+VLOOKUP($Z77,SegAWS[],HLOOKUP("Dispersion Parameter",SegAWS[],2,FALSE),FALSE)*AC77))*AB77)</f>
        <v>#N/A</v>
      </c>
      <c r="AE77" s="44">
        <f t="shared" si="59"/>
        <v>0</v>
      </c>
      <c r="AF77" s="42" t="e">
        <f t="shared" si="57"/>
        <v>#VALUE!</v>
      </c>
      <c r="AG77" s="41" t="e">
        <f>((1/(1+VLOOKUP($Z77,SegAWS[],HLOOKUP("Dispersion Parameter",SegAWS[],2,FALSE),FALSE)*AF77))*AF77
+(1-1/(1+VLOOKUP($Z77,SegAWS[],HLOOKUP("Dispersion Parameter",SegAWS[],2,FALSE),FALSE)*AF77))*AE77)</f>
        <v>#N/A</v>
      </c>
      <c r="AH77" s="101">
        <f t="shared" si="55"/>
        <v>0</v>
      </c>
      <c r="AI77" s="101" t="str">
        <f t="shared" si="60"/>
        <v>Missing Data</v>
      </c>
      <c r="AJ77" s="41" t="str">
        <f t="shared" si="61"/>
        <v>Missing Data</v>
      </c>
      <c r="AK77" s="101" t="str">
        <f t="shared" si="62"/>
        <v>Missing Data</v>
      </c>
      <c r="AL77" s="41" t="str">
        <f t="shared" si="63"/>
        <v>Missing Data</v>
      </c>
      <c r="AM77" s="44">
        <f t="shared" si="64"/>
        <v>0</v>
      </c>
      <c r="AN77" s="44">
        <f t="shared" si="65"/>
        <v>0</v>
      </c>
      <c r="AO77" s="60" t="str">
        <f t="shared" si="56"/>
        <v>Missing Data</v>
      </c>
      <c r="AP77" s="107"/>
      <c r="AQ77" s="107"/>
      <c r="AR77" s="41" t="e">
        <f>VLOOKUP($Z77,SegAWS[],HLOOKUP("Dispersion Parameter",SegAWS[],2,FALSE),FALSE)</f>
        <v>#N/A</v>
      </c>
      <c r="AS77" s="42" t="e">
        <f>VLOOKUP($Z77,SegAWS[],HLOOKUP("Dispersion Parameter",SegAWS[],2,FALSE),FALSE)</f>
        <v>#N/A</v>
      </c>
      <c r="AT77" s="41" t="e">
        <f t="shared" si="66"/>
        <v>#N/A</v>
      </c>
      <c r="AU77" s="41" t="e">
        <f t="shared" si="67"/>
        <v>#VALUE!</v>
      </c>
      <c r="AV77" s="41" t="e">
        <f t="shared" si="68"/>
        <v>#N/A</v>
      </c>
      <c r="AW77" s="41" t="e">
        <f t="shared" si="69"/>
        <v>#VALUE!</v>
      </c>
    </row>
    <row r="78" spans="1:49" x14ac:dyDescent="0.3">
      <c r="A78" s="110"/>
      <c r="B78" s="101"/>
      <c r="C78" s="101"/>
      <c r="D78" s="101"/>
      <c r="E78" s="101"/>
      <c r="F78" s="101"/>
      <c r="G78" s="101"/>
      <c r="H78" s="101"/>
      <c r="I78" s="44"/>
      <c r="J78" s="41"/>
      <c r="K78" s="44"/>
      <c r="L78" s="101"/>
      <c r="M78" s="101"/>
      <c r="N78" s="101"/>
      <c r="O78" s="44"/>
      <c r="P78" s="44"/>
      <c r="Q78" s="44"/>
      <c r="R78" s="44"/>
      <c r="S78" s="44"/>
      <c r="T78" s="44"/>
      <c r="U78" s="44"/>
      <c r="V78" s="44"/>
      <c r="W78" s="101" t="str">
        <f t="shared" si="52"/>
        <v/>
      </c>
      <c r="X78" s="43">
        <f t="shared" si="53"/>
        <v>5</v>
      </c>
      <c r="Y78" s="85" t="e">
        <f>VLOOKUP(Z78,SegAWS[],HLOOKUP("AWS Name",SegAWS[],2,FALSE),FALSE)</f>
        <v>#N/A</v>
      </c>
      <c r="Z78" s="91" t="str">
        <f t="shared" si="54"/>
        <v>Data Error: Number of Lanes</v>
      </c>
      <c r="AA78" s="108" t="str">
        <f>IFERROR(VLOOKUP($Z78,SegAWS[],HLOOKUP("KABC Scaler",SegAWS[],2,FALSE),FALSE),"Data Error")</f>
        <v>Data Error</v>
      </c>
      <c r="AB78" s="44">
        <f t="shared" si="58"/>
        <v>0</v>
      </c>
      <c r="AC78" s="41" t="str">
        <f>IF($J78="","Data Error: Segment Length",
IF(VLOOKUP($Z78,SegAWS[],HLOOKUP("Equation Form",SegAWS[],2,FALSE),FALSE)="Form 1",(((VLOOKUP($Z78,SegAWS[],HLOOKUP("Form 1 Num",SegAWS[],2,FALSE),FALSE))/(1 + EXP(-((VLOOKUP($Z78,SegAWS[],HLOOKUP("Form 1 Exp Coeff",SegAWS[],2,FALSE),FALSE))*($K78-(VLOOKUP($Z78,SegAWS[],HLOOKUP("Form 1 AADT Coeff",SegAWS[],2,FALSE),FALSE)))))))+(VLOOKUP($Z78,SegAWS[],HLOOKUP("Form 1 End Factor",SegAWS[],2,FALSE),FALSE)))*$X78*$J78,
IF(VLOOKUP($Z78,SegAWS[],HLOOKUP("Equation Form",SegAWS[],2,FALSE),FALSE)="Form 2",(EXP((VLOOKUP($Z78,SegAWS[],HLOOKUP("Form 2 Exp Coeff",SegAWS[],2,FALSE),FALSE)))*($K78^(VLOOKUP($Z78,SegAWS[],HLOOKUP("Form 2 AADT Coeff",SegAWS[],2,FALSE),FALSE))))*$X78*$J78,"Data Error: SPF Lookup Name")))</f>
        <v>Data Error: Segment Length</v>
      </c>
      <c r="AD78" s="41" t="e">
        <f>((1/(1+VLOOKUP($Z78,SegAWS[],HLOOKUP("Dispersion Parameter",SegAWS[],2,FALSE),FALSE)*AC78))*AC78
+(1-1/(1+VLOOKUP($Z78,SegAWS[],HLOOKUP("Dispersion Parameter",SegAWS[],2,FALSE),FALSE)*AC78))*AB78)</f>
        <v>#N/A</v>
      </c>
      <c r="AE78" s="44">
        <f t="shared" si="59"/>
        <v>0</v>
      </c>
      <c r="AF78" s="42" t="e">
        <f t="shared" si="57"/>
        <v>#VALUE!</v>
      </c>
      <c r="AG78" s="41" t="e">
        <f>((1/(1+VLOOKUP($Z78,SegAWS[],HLOOKUP("Dispersion Parameter",SegAWS[],2,FALSE),FALSE)*AF78))*AF78
+(1-1/(1+VLOOKUP($Z78,SegAWS[],HLOOKUP("Dispersion Parameter",SegAWS[],2,FALSE),FALSE)*AF78))*AE78)</f>
        <v>#N/A</v>
      </c>
      <c r="AH78" s="101">
        <f t="shared" si="55"/>
        <v>0</v>
      </c>
      <c r="AI78" s="101" t="str">
        <f t="shared" si="60"/>
        <v>Missing Data</v>
      </c>
      <c r="AJ78" s="41" t="str">
        <f t="shared" si="61"/>
        <v>Missing Data</v>
      </c>
      <c r="AK78" s="101" t="str">
        <f t="shared" si="62"/>
        <v>Missing Data</v>
      </c>
      <c r="AL78" s="41" t="str">
        <f t="shared" si="63"/>
        <v>Missing Data</v>
      </c>
      <c r="AM78" s="44">
        <f t="shared" si="64"/>
        <v>0</v>
      </c>
      <c r="AN78" s="44">
        <f t="shared" si="65"/>
        <v>0</v>
      </c>
      <c r="AO78" s="60" t="str">
        <f t="shared" si="56"/>
        <v>Missing Data</v>
      </c>
      <c r="AP78" s="107"/>
      <c r="AQ78" s="107"/>
      <c r="AR78" s="41" t="e">
        <f>VLOOKUP($Z78,SegAWS[],HLOOKUP("Dispersion Parameter",SegAWS[],2,FALSE),FALSE)</f>
        <v>#N/A</v>
      </c>
      <c r="AS78" s="42" t="e">
        <f>VLOOKUP($Z78,SegAWS[],HLOOKUP("Dispersion Parameter",SegAWS[],2,FALSE),FALSE)</f>
        <v>#N/A</v>
      </c>
      <c r="AT78" s="41" t="e">
        <f t="shared" si="66"/>
        <v>#N/A</v>
      </c>
      <c r="AU78" s="41" t="e">
        <f t="shared" si="67"/>
        <v>#VALUE!</v>
      </c>
      <c r="AV78" s="41" t="e">
        <f t="shared" si="68"/>
        <v>#N/A</v>
      </c>
      <c r="AW78" s="41" t="e">
        <f t="shared" si="69"/>
        <v>#VALUE!</v>
      </c>
    </row>
    <row r="79" spans="1:49" x14ac:dyDescent="0.3">
      <c r="A79" s="110"/>
      <c r="B79" s="101"/>
      <c r="C79" s="101"/>
      <c r="D79" s="101"/>
      <c r="E79" s="101"/>
      <c r="F79" s="101"/>
      <c r="G79" s="101"/>
      <c r="H79" s="101"/>
      <c r="I79" s="44"/>
      <c r="J79" s="41"/>
      <c r="K79" s="44"/>
      <c r="L79" s="101"/>
      <c r="M79" s="101"/>
      <c r="N79" s="101"/>
      <c r="O79" s="44"/>
      <c r="P79" s="44"/>
      <c r="Q79" s="44"/>
      <c r="R79" s="44"/>
      <c r="S79" s="44"/>
      <c r="T79" s="44"/>
      <c r="U79" s="44"/>
      <c r="V79" s="44"/>
      <c r="W79" s="101" t="str">
        <f t="shared" si="52"/>
        <v/>
      </c>
      <c r="X79" s="43">
        <f t="shared" si="53"/>
        <v>5</v>
      </c>
      <c r="Y79" s="85" t="e">
        <f>VLOOKUP(Z79,SegAWS[],HLOOKUP("AWS Name",SegAWS[],2,FALSE),FALSE)</f>
        <v>#N/A</v>
      </c>
      <c r="Z79" s="91" t="str">
        <f t="shared" si="54"/>
        <v>Data Error: Number of Lanes</v>
      </c>
      <c r="AA79" s="108" t="str">
        <f>IFERROR(VLOOKUP($Z79,SegAWS[],HLOOKUP("KABC Scaler",SegAWS[],2,FALSE),FALSE),"Data Error")</f>
        <v>Data Error</v>
      </c>
      <c r="AB79" s="44">
        <f t="shared" si="58"/>
        <v>0</v>
      </c>
      <c r="AC79" s="41" t="str">
        <f>IF($J79="","Data Error: Segment Length",
IF(VLOOKUP($Z79,SegAWS[],HLOOKUP("Equation Form",SegAWS[],2,FALSE),FALSE)="Form 1",(((VLOOKUP($Z79,SegAWS[],HLOOKUP("Form 1 Num",SegAWS[],2,FALSE),FALSE))/(1 + EXP(-((VLOOKUP($Z79,SegAWS[],HLOOKUP("Form 1 Exp Coeff",SegAWS[],2,FALSE),FALSE))*($K79-(VLOOKUP($Z79,SegAWS[],HLOOKUP("Form 1 AADT Coeff",SegAWS[],2,FALSE),FALSE)))))))+(VLOOKUP($Z79,SegAWS[],HLOOKUP("Form 1 End Factor",SegAWS[],2,FALSE),FALSE)))*$X79*$J79,
IF(VLOOKUP($Z79,SegAWS[],HLOOKUP("Equation Form",SegAWS[],2,FALSE),FALSE)="Form 2",(EXP((VLOOKUP($Z79,SegAWS[],HLOOKUP("Form 2 Exp Coeff",SegAWS[],2,FALSE),FALSE)))*($K79^(VLOOKUP($Z79,SegAWS[],HLOOKUP("Form 2 AADT Coeff",SegAWS[],2,FALSE),FALSE))))*$X79*$J79,"Data Error: SPF Lookup Name")))</f>
        <v>Data Error: Segment Length</v>
      </c>
      <c r="AD79" s="41" t="e">
        <f>((1/(1+VLOOKUP($Z79,SegAWS[],HLOOKUP("Dispersion Parameter",SegAWS[],2,FALSE),FALSE)*AC79))*AC79
+(1-1/(1+VLOOKUP($Z79,SegAWS[],HLOOKUP("Dispersion Parameter",SegAWS[],2,FALSE),FALSE)*AC79))*AB79)</f>
        <v>#N/A</v>
      </c>
      <c r="AE79" s="44">
        <f t="shared" si="59"/>
        <v>0</v>
      </c>
      <c r="AF79" s="42" t="e">
        <f t="shared" si="57"/>
        <v>#VALUE!</v>
      </c>
      <c r="AG79" s="41" t="e">
        <f>((1/(1+VLOOKUP($Z79,SegAWS[],HLOOKUP("Dispersion Parameter",SegAWS[],2,FALSE),FALSE)*AF79))*AF79
+(1-1/(1+VLOOKUP($Z79,SegAWS[],HLOOKUP("Dispersion Parameter",SegAWS[],2,FALSE),FALSE)*AF79))*AE79)</f>
        <v>#N/A</v>
      </c>
      <c r="AH79" s="101">
        <f t="shared" si="55"/>
        <v>0</v>
      </c>
      <c r="AI79" s="101" t="str">
        <f t="shared" si="60"/>
        <v>Missing Data</v>
      </c>
      <c r="AJ79" s="41" t="str">
        <f t="shared" si="61"/>
        <v>Missing Data</v>
      </c>
      <c r="AK79" s="101" t="str">
        <f t="shared" si="62"/>
        <v>Missing Data</v>
      </c>
      <c r="AL79" s="41" t="str">
        <f t="shared" si="63"/>
        <v>Missing Data</v>
      </c>
      <c r="AM79" s="44">
        <f t="shared" si="64"/>
        <v>0</v>
      </c>
      <c r="AN79" s="44">
        <f t="shared" si="65"/>
        <v>0</v>
      </c>
      <c r="AO79" s="60" t="str">
        <f t="shared" si="56"/>
        <v>Missing Data</v>
      </c>
      <c r="AP79" s="107"/>
      <c r="AQ79" s="107"/>
      <c r="AR79" s="41" t="e">
        <f>VLOOKUP($Z79,SegAWS[],HLOOKUP("Dispersion Parameter",SegAWS[],2,FALSE),FALSE)</f>
        <v>#N/A</v>
      </c>
      <c r="AS79" s="42" t="e">
        <f>VLOOKUP($Z79,SegAWS[],HLOOKUP("Dispersion Parameter",SegAWS[],2,FALSE),FALSE)</f>
        <v>#N/A</v>
      </c>
      <c r="AT79" s="41" t="e">
        <f t="shared" si="66"/>
        <v>#N/A</v>
      </c>
      <c r="AU79" s="41" t="e">
        <f t="shared" si="67"/>
        <v>#VALUE!</v>
      </c>
      <c r="AV79" s="41" t="e">
        <f t="shared" si="68"/>
        <v>#N/A</v>
      </c>
      <c r="AW79" s="41" t="e">
        <f t="shared" si="69"/>
        <v>#VALUE!</v>
      </c>
    </row>
  </sheetData>
  <mergeCells count="1">
    <mergeCell ref="AR4:AS4"/>
  </mergeCells>
  <phoneticPr fontId="9" type="noConversion"/>
  <dataValidations count="8">
    <dataValidation type="list" allowBlank="1" showInputMessage="1" showErrorMessage="1" sqref="B6:B79" xr:uid="{6123A5F9-9450-46F1-82B8-E0EC6C1D74E9}">
      <formula1>Region</formula1>
    </dataValidation>
    <dataValidation type="list" allowBlank="1" showInputMessage="1" showErrorMessage="1" sqref="C6:C79" xr:uid="{F4F090CE-EAFE-407E-A970-A903AC03AA43}">
      <formula1>County</formula1>
    </dataValidation>
    <dataValidation type="list" allowBlank="1" showInputMessage="1" showErrorMessage="1" sqref="D6:D79" xr:uid="{E2453D6E-9846-4F5B-AD9B-DA2816955B18}">
      <formula1>SEG_Roadway</formula1>
    </dataValidation>
    <dataValidation type="list" allowBlank="1" showInputMessage="1" showErrorMessage="1" sqref="E6:E79" xr:uid="{411E20F6-B122-44EE-9280-5DA533319C2E}">
      <formula1>Area_Type</formula1>
    </dataValidation>
    <dataValidation type="list" allowBlank="1" showInputMessage="1" showErrorMessage="1" sqref="F6:F79" xr:uid="{494BF3EB-50F7-4850-B032-81F9B771043C}">
      <formula1>Freeway</formula1>
    </dataValidation>
    <dataValidation type="list" allowBlank="1" showInputMessage="1" showErrorMessage="1" sqref="G6:G79" xr:uid="{B59C989B-8B8C-4883-B306-C60CD76CC56E}">
      <formula1>Divided</formula1>
    </dataValidation>
    <dataValidation type="list" allowBlank="1" showInputMessage="1" showErrorMessage="1" sqref="H6:H79" xr:uid="{D46C449F-C28D-4BFC-970A-909DDAB03E5E}">
      <formula1>Median</formula1>
    </dataValidation>
    <dataValidation type="list" allowBlank="1" showInputMessage="1" showErrorMessage="1" sqref="I6:I79" xr:uid="{60701442-DFC3-4EB5-9157-F6C8189BE6AE}">
      <formula1>Lanes</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7A1DB-E474-4AFB-A13C-2B63EBEE9D85}">
  <sheetPr>
    <tabColor theme="5" tint="0.59999389629810485"/>
  </sheetPr>
  <dimension ref="A1:AW36"/>
  <sheetViews>
    <sheetView zoomScale="80" zoomScaleNormal="80" workbookViewId="0">
      <pane xSplit="3" ySplit="3" topLeftCell="J4" activePane="bottomRight" state="frozen"/>
      <selection pane="topRight" activeCell="D1" sqref="D1"/>
      <selection pane="bottomLeft" activeCell="A4" sqref="A4"/>
      <selection pane="bottomRight" activeCell="N38" sqref="N38"/>
    </sheetView>
  </sheetViews>
  <sheetFormatPr defaultRowHeight="15.6" x14ac:dyDescent="0.3"/>
  <cols>
    <col min="1" max="1" width="9.69921875" customWidth="1"/>
    <col min="2" max="2" width="30.19921875" customWidth="1"/>
    <col min="3" max="3" width="69" bestFit="1" customWidth="1"/>
    <col min="4" max="4" width="17.19921875" customWidth="1"/>
    <col min="5" max="5" width="11.3984375" customWidth="1"/>
    <col min="6" max="6" width="15.59765625" customWidth="1"/>
    <col min="7" max="7" width="16.3984375" style="3" customWidth="1"/>
    <col min="8" max="8" width="14.8984375" customWidth="1"/>
    <col min="9" max="10" width="16.09765625" customWidth="1"/>
    <col min="11" max="11" width="19.8984375" bestFit="1" customWidth="1"/>
    <col min="12" max="12" width="3.8984375" customWidth="1"/>
    <col min="13" max="13" width="47.69921875" bestFit="1" customWidth="1"/>
    <col min="14" max="17" width="13.69921875" style="3" customWidth="1"/>
    <col min="18" max="18" width="21.3984375" customWidth="1"/>
    <col min="19" max="19" width="3.8984375" customWidth="1"/>
    <col min="20" max="20" width="14.09765625" customWidth="1"/>
    <col min="21" max="21" width="16.19921875" customWidth="1"/>
    <col min="22" max="22" width="16.3984375" customWidth="1"/>
    <col min="23" max="23" width="15.5" customWidth="1"/>
    <col min="24" max="24" width="17" customWidth="1"/>
    <col min="25" max="25" width="12.19921875" customWidth="1"/>
    <col min="26" max="26" width="24.69921875" customWidth="1"/>
    <col min="27" max="27" width="16.69921875" customWidth="1"/>
    <col min="28" max="28" width="17.19921875" customWidth="1"/>
    <col min="29" max="29" width="17.5" customWidth="1"/>
    <col min="30" max="30" width="17.3984375" customWidth="1"/>
    <col min="31" max="31" width="17.59765625" customWidth="1"/>
    <col min="33" max="33" width="11.59765625" customWidth="1"/>
    <col min="34" max="34" width="21" customWidth="1"/>
    <col min="35" max="35" width="25.69921875" customWidth="1"/>
    <col min="38" max="38" width="12" customWidth="1"/>
    <col min="39" max="39" width="12.19921875" customWidth="1"/>
    <col min="40" max="41" width="12" customWidth="1"/>
    <col min="42" max="42" width="12.3984375" customWidth="1"/>
    <col min="44" max="44" width="9.5" customWidth="1"/>
    <col min="45" max="45" width="9.69921875" customWidth="1"/>
    <col min="46" max="47" width="9.5" customWidth="1"/>
    <col min="48" max="48" width="9.8984375" customWidth="1"/>
  </cols>
  <sheetData>
    <row r="1" spans="1:49" x14ac:dyDescent="0.3">
      <c r="A1" s="3"/>
      <c r="B1" s="3"/>
      <c r="C1" s="3"/>
      <c r="D1" s="3"/>
      <c r="E1" s="3"/>
      <c r="F1" s="3"/>
      <c r="H1" s="3"/>
      <c r="I1" s="3"/>
      <c r="J1" s="3"/>
      <c r="K1" s="3"/>
      <c r="L1" s="3"/>
      <c r="M1" s="3"/>
      <c r="R1" s="3"/>
      <c r="S1" s="3"/>
      <c r="T1" s="3"/>
      <c r="U1" s="3"/>
      <c r="V1" s="3"/>
      <c r="W1" s="3"/>
      <c r="X1" s="3"/>
      <c r="Y1" s="3"/>
      <c r="Z1" s="3"/>
      <c r="AA1" s="3"/>
      <c r="AB1" s="3"/>
      <c r="AC1" s="3"/>
      <c r="AD1" s="3"/>
      <c r="AE1" s="3"/>
      <c r="AF1" s="3"/>
      <c r="AG1" s="3"/>
      <c r="AH1" s="2"/>
      <c r="AI1" s="2"/>
      <c r="AJ1" s="2"/>
      <c r="AK1" s="3"/>
      <c r="AP1" s="49"/>
      <c r="AQ1" s="49"/>
      <c r="AR1" s="49"/>
      <c r="AS1" s="49"/>
      <c r="AT1" s="49"/>
      <c r="AU1" s="49"/>
      <c r="AV1" s="49"/>
      <c r="AW1" s="3"/>
    </row>
    <row r="2" spans="1:49" ht="59.25" customHeight="1" x14ac:dyDescent="0.4">
      <c r="A2" s="3"/>
      <c r="B2" s="28" t="s">
        <v>9</v>
      </c>
      <c r="C2" s="28" t="s">
        <v>263</v>
      </c>
      <c r="D2" s="117" t="s">
        <v>53</v>
      </c>
      <c r="E2" s="118"/>
      <c r="F2" s="118"/>
      <c r="G2" s="118"/>
      <c r="H2" s="118"/>
      <c r="I2" s="118"/>
      <c r="J2" s="86"/>
      <c r="K2" s="86"/>
      <c r="L2" s="32" t="s">
        <v>54</v>
      </c>
      <c r="M2" s="119" t="s">
        <v>55</v>
      </c>
      <c r="N2" s="120"/>
      <c r="O2" s="121"/>
      <c r="P2" s="121"/>
      <c r="Q2" s="121"/>
      <c r="R2" s="121"/>
      <c r="S2" s="32" t="s">
        <v>56</v>
      </c>
      <c r="T2" s="122" t="s">
        <v>57</v>
      </c>
      <c r="U2" s="122"/>
      <c r="V2" s="122"/>
      <c r="W2" s="122"/>
      <c r="X2" s="122"/>
      <c r="Y2" s="122"/>
      <c r="Z2" s="122"/>
      <c r="AA2" s="122"/>
      <c r="AB2" s="122"/>
      <c r="AC2" s="122"/>
      <c r="AD2" s="122"/>
      <c r="AE2" s="122"/>
      <c r="AF2" s="32" t="s">
        <v>58</v>
      </c>
      <c r="AG2" s="123" t="s">
        <v>59</v>
      </c>
      <c r="AH2" s="124"/>
      <c r="AI2" s="124"/>
      <c r="AJ2" s="124"/>
      <c r="AK2" s="32" t="s">
        <v>15</v>
      </c>
      <c r="AL2" s="114" t="s">
        <v>156</v>
      </c>
      <c r="AM2" s="115"/>
      <c r="AN2" s="115"/>
      <c r="AO2" s="115"/>
      <c r="AP2" s="115"/>
      <c r="AQ2" s="115"/>
      <c r="AR2" s="115"/>
      <c r="AS2" s="115"/>
      <c r="AT2" s="115"/>
      <c r="AU2" s="115"/>
      <c r="AV2" s="115"/>
      <c r="AW2" s="32" t="s">
        <v>14</v>
      </c>
    </row>
    <row r="3" spans="1:49" s="5" customFormat="1" ht="33" customHeight="1" x14ac:dyDescent="0.3">
      <c r="A3" s="4"/>
      <c r="B3" s="19" t="s">
        <v>9</v>
      </c>
      <c r="C3" s="19" t="s">
        <v>263</v>
      </c>
      <c r="D3" s="26" t="s">
        <v>199</v>
      </c>
      <c r="E3" s="20" t="s">
        <v>10</v>
      </c>
      <c r="F3" s="20" t="s">
        <v>12</v>
      </c>
      <c r="G3" s="20" t="s">
        <v>11</v>
      </c>
      <c r="H3" s="20" t="s">
        <v>178</v>
      </c>
      <c r="I3" s="20" t="s">
        <v>407</v>
      </c>
      <c r="J3" s="20" t="s">
        <v>419</v>
      </c>
      <c r="K3" s="20" t="s">
        <v>418</v>
      </c>
      <c r="L3" s="29" t="s">
        <v>52</v>
      </c>
      <c r="M3" s="27" t="s">
        <v>340</v>
      </c>
      <c r="N3" s="21" t="s">
        <v>5</v>
      </c>
      <c r="O3" s="21" t="s">
        <v>7</v>
      </c>
      <c r="P3" s="21" t="s">
        <v>6</v>
      </c>
      <c r="Q3" s="21" t="s">
        <v>341</v>
      </c>
      <c r="R3" s="21" t="s">
        <v>8</v>
      </c>
      <c r="S3" s="33" t="s">
        <v>31</v>
      </c>
      <c r="T3" s="36" t="s">
        <v>17</v>
      </c>
      <c r="U3" s="36" t="s">
        <v>18</v>
      </c>
      <c r="V3" s="36" t="s">
        <v>19</v>
      </c>
      <c r="W3" s="36" t="s">
        <v>20</v>
      </c>
      <c r="X3" s="36" t="s">
        <v>21</v>
      </c>
      <c r="Y3" s="36" t="s">
        <v>138</v>
      </c>
      <c r="Z3" s="36" t="s">
        <v>22</v>
      </c>
      <c r="AA3" s="36" t="s">
        <v>23</v>
      </c>
      <c r="AB3" s="36" t="s">
        <v>24</v>
      </c>
      <c r="AC3" s="36" t="s">
        <v>25</v>
      </c>
      <c r="AD3" s="36" t="s">
        <v>26</v>
      </c>
      <c r="AE3" s="36" t="s">
        <v>27</v>
      </c>
      <c r="AF3" s="33" t="s">
        <v>32</v>
      </c>
      <c r="AG3" s="37" t="s">
        <v>60</v>
      </c>
      <c r="AH3" s="38" t="s">
        <v>61</v>
      </c>
      <c r="AI3" s="38" t="s">
        <v>16</v>
      </c>
      <c r="AJ3" s="37" t="s">
        <v>15</v>
      </c>
      <c r="AK3" s="33" t="s">
        <v>157</v>
      </c>
      <c r="AL3" s="48" t="s">
        <v>145</v>
      </c>
      <c r="AM3" s="48" t="s">
        <v>146</v>
      </c>
      <c r="AN3" s="48" t="s">
        <v>147</v>
      </c>
      <c r="AO3" s="48" t="s">
        <v>148</v>
      </c>
      <c r="AP3" s="50" t="s">
        <v>149</v>
      </c>
      <c r="AQ3" s="50" t="s">
        <v>150</v>
      </c>
      <c r="AR3" s="48" t="s">
        <v>151</v>
      </c>
      <c r="AS3" s="48" t="s">
        <v>152</v>
      </c>
      <c r="AT3" s="48" t="s">
        <v>153</v>
      </c>
      <c r="AU3" s="48" t="s">
        <v>154</v>
      </c>
      <c r="AV3" s="50" t="s">
        <v>155</v>
      </c>
      <c r="AW3" s="33" t="s">
        <v>158</v>
      </c>
    </row>
    <row r="4" spans="1:49" s="5" customFormat="1" ht="33" customHeight="1" x14ac:dyDescent="0.3">
      <c r="A4" s="116" t="s">
        <v>412</v>
      </c>
      <c r="B4" s="22" t="str">
        <f>B3</f>
        <v>SPF Name</v>
      </c>
      <c r="C4" s="22" t="str">
        <f>C3</f>
        <v>AWS Name</v>
      </c>
      <c r="D4" s="24" t="str">
        <f>D3</f>
        <v>Roadway System</v>
      </c>
      <c r="E4" s="22" t="str">
        <f t="shared" ref="E4:AW4" si="0">E3</f>
        <v>Area Type</v>
      </c>
      <c r="F4" s="22" t="str">
        <f t="shared" si="0"/>
        <v>Ramp Terminal</v>
      </c>
      <c r="G4" s="22" t="str">
        <f t="shared" si="0"/>
        <v>Number of Legs</v>
      </c>
      <c r="H4" s="22" t="str">
        <f t="shared" si="0"/>
        <v>Traffic Control</v>
      </c>
      <c r="I4" s="22" t="str">
        <f t="shared" si="0"/>
        <v>Multi-Way Stop</v>
      </c>
      <c r="J4" s="22" t="str">
        <f t="shared" ref="J4:K4" si="1">J3</f>
        <v>Roadside Facility</v>
      </c>
      <c r="K4" s="22" t="str">
        <f t="shared" si="1"/>
        <v>WisDOT Int. Type</v>
      </c>
      <c r="L4" s="30">
        <v>1</v>
      </c>
      <c r="M4" s="24" t="str">
        <f t="shared" si="0"/>
        <v>Equation</v>
      </c>
      <c r="N4" s="22" t="str">
        <f t="shared" ref="N4" si="2">N3</f>
        <v>Intercept</v>
      </c>
      <c r="O4" s="22" t="str">
        <f t="shared" si="0"/>
        <v>Minor AADT</v>
      </c>
      <c r="P4" s="22" t="str">
        <f t="shared" si="0"/>
        <v>Major AADT</v>
      </c>
      <c r="Q4" s="22" t="str">
        <f t="shared" si="0"/>
        <v>KABC Scaler</v>
      </c>
      <c r="R4" s="22" t="str">
        <f t="shared" si="0"/>
        <v>Dispersion Parameter</v>
      </c>
      <c r="S4" s="34">
        <v>2</v>
      </c>
      <c r="T4" s="22" t="str">
        <f t="shared" si="0"/>
        <v>Intercept S.E.</v>
      </c>
      <c r="U4" s="22" t="str">
        <f t="shared" si="0"/>
        <v>Major AADT S.E.</v>
      </c>
      <c r="V4" s="22" t="str">
        <f t="shared" si="0"/>
        <v>Minor AADT S.E.</v>
      </c>
      <c r="W4" s="22" t="str">
        <f t="shared" si="0"/>
        <v>Total AADT S.E.</v>
      </c>
      <c r="X4" s="22" t="str">
        <f t="shared" si="0"/>
        <v>Median Type S.E.</v>
      </c>
      <c r="Y4" s="22" t="str">
        <f t="shared" si="0"/>
        <v>RAMPS S.E.</v>
      </c>
      <c r="Z4" s="22" t="str">
        <f t="shared" si="0"/>
        <v>Dispersion Parameter S.E.</v>
      </c>
      <c r="AA4" s="22" t="str">
        <f t="shared" si="0"/>
        <v>Number of Sites</v>
      </c>
      <c r="AB4" s="22" t="str">
        <f t="shared" si="0"/>
        <v>Min. Major AADT</v>
      </c>
      <c r="AC4" s="22" t="str">
        <f t="shared" si="0"/>
        <v>Max. Major AADT</v>
      </c>
      <c r="AD4" s="22" t="str">
        <f t="shared" si="0"/>
        <v>Min. Minor AADT</v>
      </c>
      <c r="AE4" s="22" t="str">
        <f t="shared" si="0"/>
        <v>Max. Minor AADT</v>
      </c>
      <c r="AF4" s="34" t="str">
        <f t="shared" si="0"/>
        <v>3</v>
      </c>
      <c r="AG4" s="22" t="str">
        <f t="shared" si="0"/>
        <v>SPF Group</v>
      </c>
      <c r="AH4" s="22" t="str">
        <f>AH3</f>
        <v>Model Form (Report)</v>
      </c>
      <c r="AI4" s="22" t="str">
        <f t="shared" si="0"/>
        <v>Model Form (Spreadsheet)</v>
      </c>
      <c r="AJ4" s="22" t="str">
        <f t="shared" si="0"/>
        <v>Notes</v>
      </c>
      <c r="AK4" s="51" t="str">
        <f t="shared" si="0"/>
        <v>32</v>
      </c>
      <c r="AL4" s="52" t="str">
        <f t="shared" si="0"/>
        <v>K - Crashes</v>
      </c>
      <c r="AM4" s="52" t="str">
        <f t="shared" si="0"/>
        <v>A - Crashes</v>
      </c>
      <c r="AN4" s="52" t="str">
        <f t="shared" si="0"/>
        <v>B - Crashes</v>
      </c>
      <c r="AO4" s="52" t="str">
        <f t="shared" si="0"/>
        <v>C - Crashes</v>
      </c>
      <c r="AP4" s="53" t="str">
        <f t="shared" si="0"/>
        <v>O - Crashes</v>
      </c>
      <c r="AQ4" s="53" t="str">
        <f t="shared" si="0"/>
        <v>Total</v>
      </c>
      <c r="AR4" s="53" t="str">
        <f t="shared" si="0"/>
        <v>K - Prop</v>
      </c>
      <c r="AS4" s="53" t="str">
        <f t="shared" si="0"/>
        <v>A - Prop</v>
      </c>
      <c r="AT4" s="53" t="str">
        <f t="shared" si="0"/>
        <v>B - Prop</v>
      </c>
      <c r="AU4" s="53" t="str">
        <f t="shared" si="0"/>
        <v>C - Prop</v>
      </c>
      <c r="AV4" s="53" t="str">
        <f t="shared" si="0"/>
        <v>O - Prop</v>
      </c>
      <c r="AW4" s="51" t="str">
        <f t="shared" si="0"/>
        <v>33</v>
      </c>
    </row>
    <row r="5" spans="1:49" s="5" customFormat="1" x14ac:dyDescent="0.3">
      <c r="A5" s="116"/>
      <c r="B5" s="23">
        <f>COLUMN()-1</f>
        <v>1</v>
      </c>
      <c r="C5" s="23">
        <f t="shared" ref="C5:AW5" si="3">COLUMN()-1</f>
        <v>2</v>
      </c>
      <c r="D5" s="25">
        <f t="shared" si="3"/>
        <v>3</v>
      </c>
      <c r="E5" s="23">
        <f t="shared" si="3"/>
        <v>4</v>
      </c>
      <c r="F5" s="23">
        <f t="shared" si="3"/>
        <v>5</v>
      </c>
      <c r="G5" s="23">
        <f t="shared" si="3"/>
        <v>6</v>
      </c>
      <c r="H5" s="23">
        <f t="shared" si="3"/>
        <v>7</v>
      </c>
      <c r="I5" s="23">
        <f t="shared" si="3"/>
        <v>8</v>
      </c>
      <c r="J5" s="23">
        <f t="shared" si="3"/>
        <v>9</v>
      </c>
      <c r="K5" s="23">
        <f t="shared" si="3"/>
        <v>10</v>
      </c>
      <c r="L5" s="31">
        <f t="shared" si="3"/>
        <v>11</v>
      </c>
      <c r="M5" s="25">
        <f t="shared" si="3"/>
        <v>12</v>
      </c>
      <c r="N5" s="23">
        <f t="shared" si="3"/>
        <v>13</v>
      </c>
      <c r="O5" s="23">
        <f t="shared" si="3"/>
        <v>14</v>
      </c>
      <c r="P5" s="23">
        <f t="shared" si="3"/>
        <v>15</v>
      </c>
      <c r="Q5" s="23">
        <f t="shared" si="3"/>
        <v>16</v>
      </c>
      <c r="R5" s="23">
        <f t="shared" si="3"/>
        <v>17</v>
      </c>
      <c r="S5" s="35">
        <f t="shared" si="3"/>
        <v>18</v>
      </c>
      <c r="T5" s="23">
        <f t="shared" si="3"/>
        <v>19</v>
      </c>
      <c r="U5" s="23">
        <f t="shared" si="3"/>
        <v>20</v>
      </c>
      <c r="V5" s="23">
        <f t="shared" si="3"/>
        <v>21</v>
      </c>
      <c r="W5" s="23">
        <f t="shared" si="3"/>
        <v>22</v>
      </c>
      <c r="X5" s="23">
        <f t="shared" si="3"/>
        <v>23</v>
      </c>
      <c r="Y5" s="23">
        <f t="shared" si="3"/>
        <v>24</v>
      </c>
      <c r="Z5" s="23">
        <f t="shared" si="3"/>
        <v>25</v>
      </c>
      <c r="AA5" s="23">
        <f t="shared" si="3"/>
        <v>26</v>
      </c>
      <c r="AB5" s="23">
        <f t="shared" si="3"/>
        <v>27</v>
      </c>
      <c r="AC5" s="23">
        <f t="shared" si="3"/>
        <v>28</v>
      </c>
      <c r="AD5" s="23">
        <f t="shared" si="3"/>
        <v>29</v>
      </c>
      <c r="AE5" s="23">
        <f t="shared" si="3"/>
        <v>30</v>
      </c>
      <c r="AF5" s="35">
        <f t="shared" si="3"/>
        <v>31</v>
      </c>
      <c r="AG5" s="23">
        <f t="shared" si="3"/>
        <v>32</v>
      </c>
      <c r="AH5" s="23">
        <f t="shared" si="3"/>
        <v>33</v>
      </c>
      <c r="AI5" s="23">
        <f t="shared" si="3"/>
        <v>34</v>
      </c>
      <c r="AJ5" s="23">
        <f t="shared" si="3"/>
        <v>35</v>
      </c>
      <c r="AK5" s="51">
        <f t="shared" si="3"/>
        <v>36</v>
      </c>
      <c r="AL5" s="52">
        <f t="shared" si="3"/>
        <v>37</v>
      </c>
      <c r="AM5" s="52">
        <f t="shared" si="3"/>
        <v>38</v>
      </c>
      <c r="AN5" s="52">
        <f t="shared" si="3"/>
        <v>39</v>
      </c>
      <c r="AO5" s="52">
        <f t="shared" si="3"/>
        <v>40</v>
      </c>
      <c r="AP5" s="53">
        <f t="shared" si="3"/>
        <v>41</v>
      </c>
      <c r="AQ5" s="53">
        <f t="shared" si="3"/>
        <v>42</v>
      </c>
      <c r="AR5" s="53">
        <f t="shared" si="3"/>
        <v>43</v>
      </c>
      <c r="AS5" s="53">
        <f t="shared" si="3"/>
        <v>44</v>
      </c>
      <c r="AT5" s="53">
        <f t="shared" si="3"/>
        <v>45</v>
      </c>
      <c r="AU5" s="53">
        <f t="shared" si="3"/>
        <v>46</v>
      </c>
      <c r="AV5" s="53">
        <f t="shared" si="3"/>
        <v>47</v>
      </c>
      <c r="AW5" s="51">
        <f t="shared" si="3"/>
        <v>48</v>
      </c>
    </row>
    <row r="6" spans="1:49" x14ac:dyDescent="0.3">
      <c r="B6" s="1" t="s">
        <v>413</v>
      </c>
      <c r="C6" t="s">
        <v>364</v>
      </c>
      <c r="D6" t="s">
        <v>401</v>
      </c>
      <c r="H6" t="s">
        <v>403</v>
      </c>
      <c r="I6" t="b">
        <v>0</v>
      </c>
      <c r="J6" t="b">
        <v>0</v>
      </c>
      <c r="M6" t="s">
        <v>443</v>
      </c>
      <c r="N6" s="3">
        <v>19.43</v>
      </c>
      <c r="O6" s="3">
        <v>-0.59199999999999997</v>
      </c>
      <c r="P6" s="3">
        <v>0.33239999999999997</v>
      </c>
      <c r="Q6" s="3">
        <v>0.26590000000000003</v>
      </c>
      <c r="R6" s="3">
        <v>0.63121448863636354</v>
      </c>
    </row>
    <row r="7" spans="1:49" x14ac:dyDescent="0.3">
      <c r="B7" s="1" t="s">
        <v>414</v>
      </c>
      <c r="C7" t="s">
        <v>365</v>
      </c>
      <c r="D7" t="s">
        <v>401</v>
      </c>
      <c r="H7" t="s">
        <v>404</v>
      </c>
      <c r="I7" t="b">
        <v>0</v>
      </c>
      <c r="J7" t="b">
        <v>0</v>
      </c>
      <c r="M7" t="s">
        <v>444</v>
      </c>
      <c r="N7" s="3">
        <v>2.094E-2</v>
      </c>
      <c r="O7" s="3">
        <v>4.965E-2</v>
      </c>
      <c r="P7" s="3">
        <v>0.54279999999999995</v>
      </c>
      <c r="Q7" s="3">
        <v>0.26590000000000003</v>
      </c>
      <c r="R7" s="3">
        <v>1.020381958146207</v>
      </c>
    </row>
    <row r="8" spans="1:49" x14ac:dyDescent="0.3">
      <c r="B8" s="1" t="s">
        <v>415</v>
      </c>
      <c r="C8" t="s">
        <v>366</v>
      </c>
      <c r="D8" t="s">
        <v>401</v>
      </c>
      <c r="I8" t="b">
        <v>0</v>
      </c>
      <c r="J8" t="b">
        <v>0</v>
      </c>
      <c r="M8" t="s">
        <v>445</v>
      </c>
      <c r="N8" s="3">
        <v>0.12089999999999999</v>
      </c>
      <c r="O8" s="3">
        <v>0.1174</v>
      </c>
      <c r="P8" s="3">
        <v>0.13420000000000001</v>
      </c>
      <c r="Q8" s="3">
        <v>0.2636</v>
      </c>
      <c r="R8" s="3">
        <v>1.8325605126451081</v>
      </c>
    </row>
    <row r="9" spans="1:49" x14ac:dyDescent="0.3">
      <c r="B9" s="1" t="s">
        <v>416</v>
      </c>
      <c r="C9" t="s">
        <v>367</v>
      </c>
      <c r="D9" t="s">
        <v>405</v>
      </c>
      <c r="G9" s="3">
        <v>4</v>
      </c>
      <c r="I9" s="82" t="b">
        <v>1</v>
      </c>
      <c r="J9" t="b">
        <v>0</v>
      </c>
      <c r="K9" t="s">
        <v>434</v>
      </c>
      <c r="M9" t="s">
        <v>446</v>
      </c>
      <c r="N9" s="3">
        <v>7.3249999999999997E-4</v>
      </c>
      <c r="O9" s="3">
        <v>0.21229999999999999</v>
      </c>
      <c r="P9" s="3">
        <v>0.65080000000000005</v>
      </c>
      <c r="Q9" s="3">
        <v>0.15290000000000001</v>
      </c>
      <c r="R9" s="3">
        <v>0.31500752498681017</v>
      </c>
    </row>
    <row r="10" spans="1:49" x14ac:dyDescent="0.3">
      <c r="B10" s="1" t="s">
        <v>432</v>
      </c>
      <c r="C10" t="s">
        <v>368</v>
      </c>
      <c r="D10" t="s">
        <v>405</v>
      </c>
      <c r="E10" s="1"/>
      <c r="F10" s="1"/>
      <c r="H10" t="s">
        <v>408</v>
      </c>
      <c r="I10" t="b">
        <v>0</v>
      </c>
      <c r="J10" t="b">
        <v>0</v>
      </c>
      <c r="K10" t="s">
        <v>408</v>
      </c>
      <c r="M10" t="s">
        <v>387</v>
      </c>
      <c r="N10" s="3">
        <v>1.221E-2</v>
      </c>
      <c r="O10" s="3">
        <v>-7.8280000000000002E-2</v>
      </c>
      <c r="P10" s="3">
        <v>0.51100000000000001</v>
      </c>
      <c r="Q10" s="3">
        <v>0.22420000000000001</v>
      </c>
      <c r="R10" s="3">
        <v>1.3184689719657225</v>
      </c>
    </row>
    <row r="11" spans="1:49" x14ac:dyDescent="0.3">
      <c r="B11" s="1" t="s">
        <v>420</v>
      </c>
      <c r="C11" t="s">
        <v>369</v>
      </c>
      <c r="D11" t="s">
        <v>405</v>
      </c>
      <c r="E11" s="1"/>
      <c r="F11" s="1"/>
      <c r="I11" t="b">
        <v>0</v>
      </c>
      <c r="J11" s="82" t="b">
        <v>1</v>
      </c>
      <c r="K11" t="s">
        <v>426</v>
      </c>
      <c r="M11" t="s">
        <v>447</v>
      </c>
      <c r="N11" s="3">
        <v>2.3890000000000001E-4</v>
      </c>
      <c r="O11" s="3">
        <v>3.2709999999999999</v>
      </c>
      <c r="P11" s="3">
        <v>-2.448</v>
      </c>
      <c r="Q11" s="3">
        <v>0.26590000000000003</v>
      </c>
      <c r="R11" s="3">
        <v>3.8348193646391548</v>
      </c>
    </row>
    <row r="12" spans="1:49" x14ac:dyDescent="0.3">
      <c r="B12" s="1" t="s">
        <v>433</v>
      </c>
      <c r="C12" t="s">
        <v>370</v>
      </c>
      <c r="D12" t="s">
        <v>405</v>
      </c>
      <c r="E12" s="1"/>
      <c r="F12" s="1"/>
      <c r="H12" t="s">
        <v>409</v>
      </c>
      <c r="I12" t="b">
        <v>0</v>
      </c>
      <c r="J12" t="b">
        <v>0</v>
      </c>
      <c r="K12" t="s">
        <v>427</v>
      </c>
      <c r="M12" t="s">
        <v>448</v>
      </c>
      <c r="N12" s="3">
        <v>7.1660000000000004</v>
      </c>
      <c r="O12" s="3">
        <v>0.1681</v>
      </c>
      <c r="P12" s="3">
        <v>-0.38629999999999998</v>
      </c>
      <c r="Q12" s="3">
        <v>0.26590000000000003</v>
      </c>
      <c r="R12" s="3">
        <v>0.56135096560531472</v>
      </c>
    </row>
    <row r="13" spans="1:49" x14ac:dyDescent="0.3">
      <c r="B13" s="1" t="s">
        <v>439</v>
      </c>
      <c r="C13" t="s">
        <v>371</v>
      </c>
      <c r="D13" t="s">
        <v>405</v>
      </c>
      <c r="E13" s="1"/>
      <c r="F13" s="1" t="s">
        <v>402</v>
      </c>
      <c r="G13" s="3" t="s">
        <v>304</v>
      </c>
      <c r="H13" t="s">
        <v>4</v>
      </c>
      <c r="I13" t="b">
        <v>0</v>
      </c>
      <c r="J13" t="b">
        <v>0</v>
      </c>
      <c r="K13" t="s">
        <v>421</v>
      </c>
      <c r="M13" t="s">
        <v>449</v>
      </c>
      <c r="N13" s="3">
        <v>1.449E-3</v>
      </c>
      <c r="O13" s="3">
        <v>0.34429999999999999</v>
      </c>
      <c r="P13" s="3">
        <v>0.43190000000000001</v>
      </c>
      <c r="Q13" s="3">
        <v>0.26590000000000003</v>
      </c>
      <c r="R13" s="3">
        <v>3.4572980574724959</v>
      </c>
    </row>
    <row r="14" spans="1:49" x14ac:dyDescent="0.3">
      <c r="B14" s="1" t="s">
        <v>435</v>
      </c>
      <c r="C14" t="s">
        <v>372</v>
      </c>
      <c r="D14" t="s">
        <v>405</v>
      </c>
      <c r="E14" s="1" t="s">
        <v>167</v>
      </c>
      <c r="F14" s="1"/>
      <c r="G14" s="3" t="s">
        <v>303</v>
      </c>
      <c r="H14" t="s">
        <v>0</v>
      </c>
      <c r="I14" t="b">
        <v>0</v>
      </c>
      <c r="J14" t="b">
        <v>0</v>
      </c>
      <c r="K14" t="s">
        <v>422</v>
      </c>
      <c r="M14" t="s">
        <v>450</v>
      </c>
      <c r="N14" s="3">
        <v>2.8630000000000001E-3</v>
      </c>
      <c r="O14" s="3">
        <v>0.44309999999999999</v>
      </c>
      <c r="P14" s="3">
        <v>0.32719999999999999</v>
      </c>
      <c r="Q14" s="3">
        <v>0.21049999999999999</v>
      </c>
      <c r="R14" s="3">
        <v>0.75424034651970262</v>
      </c>
    </row>
    <row r="15" spans="1:49" x14ac:dyDescent="0.3">
      <c r="B15" s="1" t="s">
        <v>436</v>
      </c>
      <c r="C15" t="s">
        <v>428</v>
      </c>
      <c r="D15" t="s">
        <v>405</v>
      </c>
      <c r="E15" s="1" t="s">
        <v>167</v>
      </c>
      <c r="F15" s="1"/>
      <c r="G15" s="3" t="s">
        <v>303</v>
      </c>
      <c r="H15" t="s">
        <v>410</v>
      </c>
      <c r="I15" t="b">
        <v>0</v>
      </c>
      <c r="J15" t="b">
        <v>0</v>
      </c>
      <c r="K15" t="s">
        <v>423</v>
      </c>
      <c r="M15" s="1" t="s">
        <v>451</v>
      </c>
      <c r="N15" s="3">
        <v>1.205E-2</v>
      </c>
      <c r="O15" s="94">
        <v>0.83879999999999999</v>
      </c>
      <c r="P15" s="94">
        <v>-0.12089999999999999</v>
      </c>
      <c r="Q15" s="94">
        <v>0.26590000000000003</v>
      </c>
      <c r="R15" s="94">
        <v>1.2022039523242909</v>
      </c>
    </row>
    <row r="16" spans="1:49" x14ac:dyDescent="0.3">
      <c r="B16" s="1" t="s">
        <v>438</v>
      </c>
      <c r="C16" t="s">
        <v>429</v>
      </c>
      <c r="D16" t="s">
        <v>405</v>
      </c>
      <c r="E16" s="1" t="s">
        <v>167</v>
      </c>
      <c r="F16" s="1"/>
      <c r="G16" s="3" t="s">
        <v>303</v>
      </c>
      <c r="H16" t="s">
        <v>411</v>
      </c>
      <c r="I16" t="b">
        <v>0</v>
      </c>
      <c r="J16" t="b">
        <v>0</v>
      </c>
      <c r="K16" t="s">
        <v>425</v>
      </c>
      <c r="M16" s="1" t="s">
        <v>467</v>
      </c>
      <c r="N16" s="94">
        <v>0.2485</v>
      </c>
      <c r="O16" s="94">
        <v>0.28160000000000002</v>
      </c>
      <c r="P16" s="94">
        <v>-1.5509999999999999E-2</v>
      </c>
      <c r="Q16" s="94">
        <v>0.18160000000000001</v>
      </c>
      <c r="R16" s="94">
        <v>0.54862710829744121</v>
      </c>
    </row>
    <row r="17" spans="2:18" x14ac:dyDescent="0.3">
      <c r="B17" s="1" t="s">
        <v>437</v>
      </c>
      <c r="C17" t="s">
        <v>373</v>
      </c>
      <c r="D17" t="s">
        <v>405</v>
      </c>
      <c r="E17" s="1" t="s">
        <v>167</v>
      </c>
      <c r="F17" s="1"/>
      <c r="G17" s="3" t="s">
        <v>303</v>
      </c>
      <c r="H17" t="s">
        <v>404</v>
      </c>
      <c r="I17" t="b">
        <v>0</v>
      </c>
      <c r="J17" t="b">
        <v>0</v>
      </c>
      <c r="K17" t="s">
        <v>424</v>
      </c>
      <c r="M17" s="1" t="s">
        <v>466</v>
      </c>
      <c r="N17" s="94">
        <v>2.1149999999999999E-2</v>
      </c>
      <c r="O17" s="94">
        <v>0.19639999999999999</v>
      </c>
      <c r="P17" s="94">
        <v>0.35049999999999998</v>
      </c>
      <c r="Q17" s="94">
        <v>0.24390000000000001</v>
      </c>
      <c r="R17" s="94">
        <v>0.45432791693917901</v>
      </c>
    </row>
    <row r="18" spans="2:18" x14ac:dyDescent="0.3">
      <c r="B18" s="1" t="s">
        <v>389</v>
      </c>
      <c r="C18" t="s">
        <v>374</v>
      </c>
      <c r="D18" t="s">
        <v>405</v>
      </c>
      <c r="E18" s="1" t="s">
        <v>167</v>
      </c>
      <c r="F18" s="1" t="s">
        <v>402</v>
      </c>
      <c r="G18" s="3">
        <v>3</v>
      </c>
      <c r="H18" t="s">
        <v>4</v>
      </c>
      <c r="I18" t="b">
        <v>0</v>
      </c>
      <c r="J18" t="b">
        <v>0</v>
      </c>
      <c r="K18" t="s">
        <v>421</v>
      </c>
      <c r="M18" s="1" t="s">
        <v>452</v>
      </c>
      <c r="N18" s="94">
        <v>2.1120000000000002E-3</v>
      </c>
      <c r="O18" s="94">
        <v>0.17530000000000001</v>
      </c>
      <c r="P18" s="94">
        <v>0.41699999999999998</v>
      </c>
      <c r="Q18" s="94">
        <v>0.29849999999999999</v>
      </c>
      <c r="R18" s="94">
        <v>2.1744160805373181</v>
      </c>
    </row>
    <row r="19" spans="2:18" x14ac:dyDescent="0.3">
      <c r="B19" s="1" t="s">
        <v>390</v>
      </c>
      <c r="C19" t="s">
        <v>375</v>
      </c>
      <c r="D19" t="s">
        <v>405</v>
      </c>
      <c r="E19" s="1" t="s">
        <v>167</v>
      </c>
      <c r="F19" s="1" t="s">
        <v>402</v>
      </c>
      <c r="G19" s="3">
        <v>4</v>
      </c>
      <c r="H19" t="s">
        <v>4</v>
      </c>
      <c r="I19" t="b">
        <v>0</v>
      </c>
      <c r="J19" t="b">
        <v>0</v>
      </c>
      <c r="K19" t="s">
        <v>421</v>
      </c>
      <c r="M19" s="1" t="s">
        <v>453</v>
      </c>
      <c r="N19" s="94">
        <v>7.8519999999999996E-3</v>
      </c>
      <c r="O19" s="94">
        <v>0.20730000000000001</v>
      </c>
      <c r="P19" s="94">
        <v>0.3281</v>
      </c>
      <c r="Q19" s="94">
        <v>0.34410000000000002</v>
      </c>
      <c r="R19" s="94">
        <v>2.0728826990880482</v>
      </c>
    </row>
    <row r="20" spans="2:18" x14ac:dyDescent="0.3">
      <c r="B20" s="1" t="s">
        <v>391</v>
      </c>
      <c r="C20" t="s">
        <v>376</v>
      </c>
      <c r="D20" t="s">
        <v>405</v>
      </c>
      <c r="E20" s="1" t="s">
        <v>167</v>
      </c>
      <c r="F20" s="1" t="s">
        <v>39</v>
      </c>
      <c r="G20" s="3">
        <v>3</v>
      </c>
      <c r="H20" t="s">
        <v>4</v>
      </c>
      <c r="I20" t="b">
        <v>0</v>
      </c>
      <c r="J20" t="b">
        <v>0</v>
      </c>
      <c r="K20" t="s">
        <v>421</v>
      </c>
      <c r="M20" s="1" t="s">
        <v>454</v>
      </c>
      <c r="N20" s="94">
        <v>7.8600000000000007E-3</v>
      </c>
      <c r="O20" s="94">
        <v>2.2879999999999998</v>
      </c>
      <c r="P20" s="94">
        <v>-1.7709999999999999</v>
      </c>
      <c r="Q20" s="94">
        <v>0.26590000000000003</v>
      </c>
      <c r="R20" s="94">
        <v>1.0198352557402393</v>
      </c>
    </row>
    <row r="21" spans="2:18" x14ac:dyDescent="0.3">
      <c r="B21" s="1" t="s">
        <v>392</v>
      </c>
      <c r="C21" t="s">
        <v>377</v>
      </c>
      <c r="D21" t="s">
        <v>405</v>
      </c>
      <c r="E21" s="1" t="s">
        <v>167</v>
      </c>
      <c r="F21" s="1" t="s">
        <v>39</v>
      </c>
      <c r="G21" s="3">
        <v>4</v>
      </c>
      <c r="H21" t="s">
        <v>4</v>
      </c>
      <c r="I21" t="b">
        <v>0</v>
      </c>
      <c r="J21" t="b">
        <v>0</v>
      </c>
      <c r="K21" t="s">
        <v>421</v>
      </c>
      <c r="M21" s="1" t="s">
        <v>455</v>
      </c>
      <c r="N21" s="94">
        <v>6.7900000000000002E-2</v>
      </c>
      <c r="O21" s="94">
        <v>0.39100000000000001</v>
      </c>
      <c r="P21" s="94">
        <v>-0.1053</v>
      </c>
      <c r="Q21" s="94">
        <v>0.25869999999999999</v>
      </c>
      <c r="R21" s="94">
        <v>1.2575654716134683</v>
      </c>
    </row>
    <row r="22" spans="2:18" x14ac:dyDescent="0.3">
      <c r="B22" s="1" t="s">
        <v>519</v>
      </c>
      <c r="C22" t="s">
        <v>378</v>
      </c>
      <c r="D22" t="s">
        <v>405</v>
      </c>
      <c r="E22" s="1" t="s">
        <v>168</v>
      </c>
      <c r="F22" s="1" t="s">
        <v>402</v>
      </c>
      <c r="G22" s="3" t="s">
        <v>303</v>
      </c>
      <c r="H22" t="s">
        <v>0</v>
      </c>
      <c r="I22" t="b">
        <v>0</v>
      </c>
      <c r="J22" t="b">
        <v>0</v>
      </c>
      <c r="K22" t="s">
        <v>422</v>
      </c>
      <c r="M22" s="1" t="s">
        <v>456</v>
      </c>
      <c r="N22" s="94">
        <v>1.5529999999999999</v>
      </c>
      <c r="O22" s="94">
        <v>-5.0979999999999998E-2</v>
      </c>
      <c r="P22" s="94">
        <v>6.9629999999999997E-2</v>
      </c>
      <c r="Q22" s="94">
        <v>0.22389999999999999</v>
      </c>
      <c r="R22" s="94">
        <v>0.40912271615277729</v>
      </c>
    </row>
    <row r="23" spans="2:18" x14ac:dyDescent="0.3">
      <c r="B23" s="1" t="s">
        <v>520</v>
      </c>
      <c r="C23" t="s">
        <v>430</v>
      </c>
      <c r="D23" t="s">
        <v>405</v>
      </c>
      <c r="E23" s="1" t="s">
        <v>168</v>
      </c>
      <c r="F23" s="1" t="s">
        <v>402</v>
      </c>
      <c r="G23" s="3" t="s">
        <v>303</v>
      </c>
      <c r="H23" t="s">
        <v>410</v>
      </c>
      <c r="I23" t="b">
        <v>0</v>
      </c>
      <c r="J23" t="b">
        <v>0</v>
      </c>
      <c r="K23" t="s">
        <v>423</v>
      </c>
      <c r="M23" s="1" t="s">
        <v>457</v>
      </c>
      <c r="N23" s="94">
        <v>9.8030000000000006E-2</v>
      </c>
      <c r="O23" s="94">
        <v>0.48139999999999999</v>
      </c>
      <c r="P23" s="94">
        <v>1.363E-2</v>
      </c>
      <c r="Q23" s="94">
        <v>0.11550000000000001</v>
      </c>
      <c r="R23" s="94">
        <v>1.7822678286197289</v>
      </c>
    </row>
    <row r="24" spans="2:18" x14ac:dyDescent="0.3">
      <c r="B24" s="1" t="s">
        <v>521</v>
      </c>
      <c r="C24" t="s">
        <v>431</v>
      </c>
      <c r="D24" t="s">
        <v>405</v>
      </c>
      <c r="E24" s="1" t="s">
        <v>168</v>
      </c>
      <c r="F24" s="1" t="s">
        <v>402</v>
      </c>
      <c r="G24" s="3" t="s">
        <v>303</v>
      </c>
      <c r="H24" t="s">
        <v>411</v>
      </c>
      <c r="I24" t="b">
        <v>0</v>
      </c>
      <c r="J24" t="b">
        <v>0</v>
      </c>
      <c r="K24" t="s">
        <v>425</v>
      </c>
      <c r="M24" s="1" t="s">
        <v>458</v>
      </c>
      <c r="N24" s="94">
        <v>0.2505</v>
      </c>
      <c r="O24" s="94">
        <v>4.5440000000000001E-2</v>
      </c>
      <c r="P24" s="94">
        <v>0.2074</v>
      </c>
      <c r="Q24" s="94">
        <v>0.13650000000000001</v>
      </c>
      <c r="R24" s="94">
        <v>0.60466250798448495</v>
      </c>
    </row>
    <row r="25" spans="2:18" x14ac:dyDescent="0.3">
      <c r="B25" s="1" t="s">
        <v>397</v>
      </c>
      <c r="C25" t="s">
        <v>379</v>
      </c>
      <c r="D25" t="s">
        <v>405</v>
      </c>
      <c r="E25" s="1" t="s">
        <v>168</v>
      </c>
      <c r="F25" s="1" t="s">
        <v>402</v>
      </c>
      <c r="G25" s="3">
        <v>3</v>
      </c>
      <c r="H25" t="s">
        <v>404</v>
      </c>
      <c r="I25" t="b">
        <v>0</v>
      </c>
      <c r="J25" t="b">
        <v>0</v>
      </c>
      <c r="K25" t="s">
        <v>424</v>
      </c>
      <c r="M25" s="1" t="s">
        <v>459</v>
      </c>
      <c r="N25" s="94">
        <v>4.5180000000000003E-3</v>
      </c>
      <c r="O25" s="94">
        <v>8.8730000000000003E-2</v>
      </c>
      <c r="P25" s="94">
        <v>0.61109999999999998</v>
      </c>
      <c r="Q25" s="94">
        <v>0.2727</v>
      </c>
      <c r="R25" s="94">
        <v>0.73684853873505218</v>
      </c>
    </row>
    <row r="26" spans="2:18" x14ac:dyDescent="0.3">
      <c r="B26" s="1" t="s">
        <v>393</v>
      </c>
      <c r="C26" t="s">
        <v>380</v>
      </c>
      <c r="D26" t="s">
        <v>405</v>
      </c>
      <c r="E26" s="1" t="s">
        <v>168</v>
      </c>
      <c r="F26" s="1" t="s">
        <v>402</v>
      </c>
      <c r="G26" s="3">
        <v>3</v>
      </c>
      <c r="H26" t="s">
        <v>4</v>
      </c>
      <c r="I26" t="b">
        <v>0</v>
      </c>
      <c r="J26" t="b">
        <v>0</v>
      </c>
      <c r="K26" t="s">
        <v>421</v>
      </c>
      <c r="M26" t="s">
        <v>460</v>
      </c>
      <c r="N26" s="94">
        <v>4.5139999999999998E-3</v>
      </c>
      <c r="O26" s="3">
        <v>0.1144</v>
      </c>
      <c r="P26" s="3">
        <v>0.45229999999999998</v>
      </c>
      <c r="Q26" s="3">
        <v>0.2702</v>
      </c>
      <c r="R26" s="3">
        <v>1.7498762832198838</v>
      </c>
    </row>
    <row r="27" spans="2:18" x14ac:dyDescent="0.3">
      <c r="B27" s="1" t="s">
        <v>394</v>
      </c>
      <c r="C27" t="s">
        <v>381</v>
      </c>
      <c r="D27" t="s">
        <v>405</v>
      </c>
      <c r="E27" s="1" t="s">
        <v>168</v>
      </c>
      <c r="F27" s="1" t="s">
        <v>402</v>
      </c>
      <c r="G27" s="3">
        <v>4</v>
      </c>
      <c r="H27" t="s">
        <v>4</v>
      </c>
      <c r="I27" t="b">
        <v>0</v>
      </c>
      <c r="J27" t="b">
        <v>0</v>
      </c>
      <c r="K27" t="s">
        <v>421</v>
      </c>
      <c r="M27" t="s">
        <v>388</v>
      </c>
      <c r="N27" s="3">
        <v>3.2590000000000002E-3</v>
      </c>
      <c r="O27" s="3">
        <v>-1.21E-2</v>
      </c>
      <c r="P27" s="3">
        <v>0.67230000000000001</v>
      </c>
      <c r="Q27" s="3">
        <v>0.26069999999999999</v>
      </c>
      <c r="R27" s="3">
        <v>1.1751464852346996</v>
      </c>
    </row>
    <row r="28" spans="2:18" x14ac:dyDescent="0.3">
      <c r="B28" s="1" t="s">
        <v>398</v>
      </c>
      <c r="C28" t="s">
        <v>382</v>
      </c>
      <c r="D28" t="s">
        <v>405</v>
      </c>
      <c r="E28" s="1" t="s">
        <v>168</v>
      </c>
      <c r="F28" s="1" t="s">
        <v>402</v>
      </c>
      <c r="G28" s="3" t="s">
        <v>406</v>
      </c>
      <c r="H28" t="s">
        <v>404</v>
      </c>
      <c r="I28" t="b">
        <v>0</v>
      </c>
      <c r="J28" t="b">
        <v>0</v>
      </c>
      <c r="K28" t="s">
        <v>424</v>
      </c>
      <c r="M28" t="s">
        <v>461</v>
      </c>
      <c r="N28" s="3">
        <v>1.098E-2</v>
      </c>
      <c r="O28" s="3">
        <v>0.1706</v>
      </c>
      <c r="P28" s="3">
        <v>0.49819999999999998</v>
      </c>
      <c r="Q28" s="3">
        <v>0.27289999999999998</v>
      </c>
      <c r="R28" s="3">
        <v>0.7645840417499602</v>
      </c>
    </row>
    <row r="29" spans="2:18" x14ac:dyDescent="0.3">
      <c r="B29" s="1" t="s">
        <v>399</v>
      </c>
      <c r="C29" t="s">
        <v>383</v>
      </c>
      <c r="D29" t="s">
        <v>405</v>
      </c>
      <c r="E29" s="1" t="s">
        <v>168</v>
      </c>
      <c r="F29" s="1" t="s">
        <v>39</v>
      </c>
      <c r="G29" s="3">
        <v>3</v>
      </c>
      <c r="H29" t="s">
        <v>404</v>
      </c>
      <c r="I29" t="b">
        <v>0</v>
      </c>
      <c r="J29" t="b">
        <v>0</v>
      </c>
      <c r="K29" t="s">
        <v>424</v>
      </c>
      <c r="M29" t="s">
        <v>462</v>
      </c>
      <c r="N29" s="3">
        <v>0.185</v>
      </c>
      <c r="O29" s="3">
        <v>-1.439E-2</v>
      </c>
      <c r="P29" s="3">
        <v>0.32400000000000001</v>
      </c>
      <c r="Q29" s="3">
        <v>0.23430000000000001</v>
      </c>
      <c r="R29" s="3">
        <v>1.0393989568559356</v>
      </c>
    </row>
    <row r="30" spans="2:18" x14ac:dyDescent="0.3">
      <c r="B30" s="1" t="s">
        <v>395</v>
      </c>
      <c r="C30" t="s">
        <v>384</v>
      </c>
      <c r="D30" t="s">
        <v>405</v>
      </c>
      <c r="E30" s="1" t="s">
        <v>168</v>
      </c>
      <c r="F30" s="1" t="s">
        <v>39</v>
      </c>
      <c r="G30" s="3">
        <v>3</v>
      </c>
      <c r="H30" t="s">
        <v>4</v>
      </c>
      <c r="I30" t="b">
        <v>0</v>
      </c>
      <c r="J30" t="b">
        <v>0</v>
      </c>
      <c r="K30" t="s">
        <v>421</v>
      </c>
      <c r="M30" t="s">
        <v>463</v>
      </c>
      <c r="N30" s="3">
        <v>4.9490000000000003E-3</v>
      </c>
      <c r="O30" s="3">
        <v>-5.1429999999999997E-2</v>
      </c>
      <c r="P30" s="3">
        <v>0.59219999999999995</v>
      </c>
      <c r="Q30" s="3">
        <v>0.27250000000000002</v>
      </c>
      <c r="R30" s="3">
        <v>0.82549226458061731</v>
      </c>
    </row>
    <row r="31" spans="2:18" x14ac:dyDescent="0.3">
      <c r="B31" s="1" t="s">
        <v>396</v>
      </c>
      <c r="C31" t="s">
        <v>385</v>
      </c>
      <c r="D31" t="s">
        <v>405</v>
      </c>
      <c r="E31" s="1" t="s">
        <v>168</v>
      </c>
      <c r="F31" s="1" t="s">
        <v>39</v>
      </c>
      <c r="G31" s="3">
        <v>4</v>
      </c>
      <c r="H31" t="s">
        <v>4</v>
      </c>
      <c r="I31" t="b">
        <v>0</v>
      </c>
      <c r="J31" t="b">
        <v>0</v>
      </c>
      <c r="K31" t="s">
        <v>421</v>
      </c>
      <c r="M31" t="s">
        <v>464</v>
      </c>
      <c r="N31" s="3">
        <v>2.0899999999999998E-2</v>
      </c>
      <c r="O31" s="3">
        <v>0.24179999999999999</v>
      </c>
      <c r="P31" s="3">
        <v>0.22850000000000001</v>
      </c>
      <c r="Q31" s="3">
        <v>0.25459999999999999</v>
      </c>
      <c r="R31" s="3">
        <v>0.93909053060871972</v>
      </c>
    </row>
    <row r="32" spans="2:18" x14ac:dyDescent="0.3">
      <c r="B32" s="1" t="s">
        <v>400</v>
      </c>
      <c r="C32" t="s">
        <v>386</v>
      </c>
      <c r="D32" t="s">
        <v>405</v>
      </c>
      <c r="E32" s="1" t="s">
        <v>168</v>
      </c>
      <c r="F32" s="1" t="s">
        <v>39</v>
      </c>
      <c r="G32" s="3" t="s">
        <v>406</v>
      </c>
      <c r="H32" t="s">
        <v>404</v>
      </c>
      <c r="I32" t="b">
        <v>0</v>
      </c>
      <c r="J32" t="b">
        <v>0</v>
      </c>
      <c r="K32" t="s">
        <v>424</v>
      </c>
      <c r="M32" t="s">
        <v>465</v>
      </c>
      <c r="N32" s="3">
        <v>0.62239999999999995</v>
      </c>
      <c r="O32" s="3">
        <v>3.4139999999999997E-2</v>
      </c>
      <c r="P32" s="3">
        <v>0.18149999999999999</v>
      </c>
      <c r="Q32" s="3">
        <v>0.2359</v>
      </c>
      <c r="R32" s="3">
        <v>0.52137960592018806</v>
      </c>
    </row>
    <row r="33" spans="2:6" x14ac:dyDescent="0.3">
      <c r="B33" s="1"/>
      <c r="E33" s="1"/>
      <c r="F33" s="1"/>
    </row>
    <row r="34" spans="2:6" x14ac:dyDescent="0.3">
      <c r="E34" s="1"/>
      <c r="F34" s="1"/>
    </row>
    <row r="35" spans="2:6" x14ac:dyDescent="0.3">
      <c r="E35" s="1"/>
      <c r="F35" s="1"/>
    </row>
    <row r="36" spans="2:6" x14ac:dyDescent="0.3">
      <c r="E36" s="1"/>
      <c r="F36" s="1"/>
    </row>
  </sheetData>
  <mergeCells count="6">
    <mergeCell ref="AL2:AV2"/>
    <mergeCell ref="A4:A5"/>
    <mergeCell ref="D2:I2"/>
    <mergeCell ref="M2:R2"/>
    <mergeCell ref="T2:AE2"/>
    <mergeCell ref="AG2:AJ2"/>
  </mergeCells>
  <phoneticPr fontId="9" type="noConversion"/>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4E98-54A7-4AAE-ADD8-B2DA1D45298D}">
  <sheetPr>
    <tabColor theme="5" tint="0.59999389629810485"/>
  </sheetPr>
  <dimension ref="A1:AX76"/>
  <sheetViews>
    <sheetView zoomScale="80" zoomScaleNormal="80" workbookViewId="0">
      <pane xSplit="3" ySplit="4" topLeftCell="K32" activePane="bottomRight" state="frozen"/>
      <selection pane="topRight" activeCell="D1" sqref="D1"/>
      <selection pane="bottomLeft" activeCell="A5" sqref="A5"/>
      <selection pane="bottomRight" activeCell="Q46" sqref="Q46"/>
    </sheetView>
  </sheetViews>
  <sheetFormatPr defaultRowHeight="15.6" outlineLevelCol="1" x14ac:dyDescent="0.3"/>
  <cols>
    <col min="1" max="1" width="10.09765625" customWidth="1"/>
    <col min="2" max="2" width="35.5" bestFit="1" customWidth="1"/>
    <col min="3" max="3" width="44.8984375" customWidth="1"/>
    <col min="4" max="4" width="16.3984375" customWidth="1" outlineLevel="1"/>
    <col min="5" max="5" width="11.09765625" customWidth="1" outlineLevel="1"/>
    <col min="6" max="6" width="22" customWidth="1" outlineLevel="1"/>
    <col min="7" max="7" width="19.09765625" customWidth="1" outlineLevel="1"/>
    <col min="8" max="8" width="17.59765625" customWidth="1" outlineLevel="1"/>
    <col min="9" max="9" width="16.59765625" style="3" customWidth="1" outlineLevel="1"/>
    <col min="10" max="10" width="11.19921875" style="3" customWidth="1" outlineLevel="1"/>
    <col min="11" max="11" width="11.3984375" style="3" customWidth="1" outlineLevel="1"/>
    <col min="12" max="12" width="3.09765625" customWidth="1"/>
    <col min="13" max="13" width="48.8984375" bestFit="1" customWidth="1" outlineLevel="1"/>
    <col min="14" max="20" width="13.69921875" style="3" customWidth="1" outlineLevel="1"/>
    <col min="21" max="21" width="12.5" style="3" customWidth="1" outlineLevel="1"/>
    <col min="22" max="22" width="20.69921875" style="3" customWidth="1" outlineLevel="1"/>
    <col min="23" max="23" width="3" customWidth="1"/>
    <col min="24" max="24" width="13.8984375" customWidth="1" outlineLevel="1"/>
    <col min="25" max="25" width="10.69921875" customWidth="1" outlineLevel="1"/>
    <col min="26" max="26" width="23.8984375" customWidth="1" outlineLevel="1"/>
    <col min="27" max="27" width="15.8984375" customWidth="1" outlineLevel="1"/>
    <col min="28" max="28" width="17.09765625" customWidth="1" outlineLevel="1"/>
    <col min="29" max="30" width="17.3984375" customWidth="1" outlineLevel="1"/>
    <col min="31" max="31" width="17.5" customWidth="1" outlineLevel="1"/>
    <col min="32" max="32" width="3" customWidth="1"/>
    <col min="33" max="33" width="11.19921875" customWidth="1" outlineLevel="1"/>
    <col min="34" max="34" width="20.09765625" customWidth="1" outlineLevel="1"/>
    <col min="35" max="35" width="24.8984375" customWidth="1" outlineLevel="1"/>
    <col min="36" max="36" width="9" outlineLevel="1"/>
    <col min="37" max="37" width="3.09765625" customWidth="1"/>
    <col min="38" max="38" width="11.3984375" customWidth="1" outlineLevel="1"/>
    <col min="39" max="39" width="11.59765625" customWidth="1" outlineLevel="1"/>
    <col min="40" max="41" width="11.3984375" customWidth="1" outlineLevel="1"/>
    <col min="42" max="42" width="11.59765625" customWidth="1" outlineLevel="1"/>
    <col min="43" max="43" width="9" outlineLevel="1"/>
    <col min="44" max="44" width="9.09765625" customWidth="1" outlineLevel="1"/>
    <col min="45" max="45" width="9.19921875" customWidth="1" outlineLevel="1"/>
    <col min="46" max="47" width="9.09765625" customWidth="1" outlineLevel="1"/>
    <col min="48" max="48" width="9.19921875" customWidth="1" outlineLevel="1"/>
    <col min="49" max="49" width="3" customWidth="1"/>
  </cols>
  <sheetData>
    <row r="1" spans="1:50" ht="60.6" x14ac:dyDescent="0.4">
      <c r="A1" s="3"/>
      <c r="B1" s="28" t="s">
        <v>9</v>
      </c>
      <c r="C1" s="28" t="s">
        <v>263</v>
      </c>
      <c r="D1" s="117" t="s">
        <v>53</v>
      </c>
      <c r="E1" s="127"/>
      <c r="F1" s="127"/>
      <c r="G1" s="127"/>
      <c r="H1" s="127"/>
      <c r="I1" s="127"/>
      <c r="J1" s="127"/>
      <c r="K1" s="127"/>
      <c r="L1" s="32" t="s">
        <v>54</v>
      </c>
      <c r="M1" s="119" t="s">
        <v>56</v>
      </c>
      <c r="N1" s="120"/>
      <c r="O1" s="120"/>
      <c r="P1" s="120"/>
      <c r="Q1" s="120"/>
      <c r="R1" s="120"/>
      <c r="S1" s="120"/>
      <c r="T1" s="120"/>
      <c r="U1" s="121"/>
      <c r="V1" s="121"/>
      <c r="W1" s="32" t="s">
        <v>56</v>
      </c>
      <c r="X1" s="122" t="s">
        <v>57</v>
      </c>
      <c r="Y1" s="122"/>
      <c r="Z1" s="122"/>
      <c r="AA1" s="122"/>
      <c r="AB1" s="122"/>
      <c r="AC1" s="122"/>
      <c r="AD1" s="122"/>
      <c r="AE1" s="122"/>
      <c r="AF1" s="32" t="s">
        <v>58</v>
      </c>
      <c r="AG1" s="123" t="s">
        <v>59</v>
      </c>
      <c r="AH1" s="128"/>
      <c r="AI1" s="128"/>
      <c r="AJ1" s="128"/>
      <c r="AK1" s="32" t="s">
        <v>15</v>
      </c>
      <c r="AL1" s="125" t="s">
        <v>171</v>
      </c>
      <c r="AM1" s="126"/>
      <c r="AN1" s="126"/>
      <c r="AO1" s="126"/>
      <c r="AP1" s="126"/>
      <c r="AQ1" s="126"/>
      <c r="AR1" s="126"/>
      <c r="AS1" s="126"/>
      <c r="AT1" s="126"/>
      <c r="AU1" s="126"/>
      <c r="AV1" s="126"/>
      <c r="AW1" s="32" t="s">
        <v>14</v>
      </c>
    </row>
    <row r="2" spans="1:50" ht="33.75" customHeight="1" x14ac:dyDescent="0.3">
      <c r="A2" s="4"/>
      <c r="B2" s="19" t="s">
        <v>9</v>
      </c>
      <c r="C2" s="19" t="s">
        <v>263</v>
      </c>
      <c r="D2" s="26" t="s">
        <v>199</v>
      </c>
      <c r="E2" s="20" t="s">
        <v>10</v>
      </c>
      <c r="F2" s="20" t="s">
        <v>200</v>
      </c>
      <c r="G2" s="20" t="s">
        <v>201</v>
      </c>
      <c r="H2" s="20" t="s">
        <v>13</v>
      </c>
      <c r="I2" s="20" t="s">
        <v>28</v>
      </c>
      <c r="J2" s="20" t="s">
        <v>258</v>
      </c>
      <c r="K2" s="20" t="s">
        <v>259</v>
      </c>
      <c r="L2" s="29" t="s">
        <v>52</v>
      </c>
      <c r="M2" s="27" t="s">
        <v>340</v>
      </c>
      <c r="N2" s="21" t="s">
        <v>342</v>
      </c>
      <c r="O2" s="21" t="s">
        <v>343</v>
      </c>
      <c r="P2" s="21" t="s">
        <v>344</v>
      </c>
      <c r="Q2" s="21" t="s">
        <v>345</v>
      </c>
      <c r="R2" s="21" t="s">
        <v>346</v>
      </c>
      <c r="S2" s="21" t="s">
        <v>347</v>
      </c>
      <c r="T2" s="21" t="s">
        <v>348</v>
      </c>
      <c r="U2" s="21" t="s">
        <v>341</v>
      </c>
      <c r="V2" s="21" t="s">
        <v>8</v>
      </c>
      <c r="W2" s="33" t="s">
        <v>31</v>
      </c>
      <c r="X2" s="36" t="s">
        <v>17</v>
      </c>
      <c r="Y2" s="36" t="s">
        <v>169</v>
      </c>
      <c r="Z2" s="36" t="s">
        <v>22</v>
      </c>
      <c r="AA2" s="36" t="s">
        <v>23</v>
      </c>
      <c r="AB2" s="36" t="s">
        <v>24</v>
      </c>
      <c r="AC2" s="36" t="s">
        <v>25</v>
      </c>
      <c r="AD2" s="36" t="s">
        <v>26</v>
      </c>
      <c r="AE2" s="36" t="s">
        <v>27</v>
      </c>
      <c r="AF2" s="33" t="s">
        <v>32</v>
      </c>
      <c r="AG2" s="37" t="s">
        <v>60</v>
      </c>
      <c r="AH2" s="38" t="s">
        <v>61</v>
      </c>
      <c r="AI2" s="38" t="s">
        <v>16</v>
      </c>
      <c r="AJ2" s="37" t="s">
        <v>15</v>
      </c>
      <c r="AK2" s="33" t="s">
        <v>157</v>
      </c>
      <c r="AL2" s="48" t="s">
        <v>145</v>
      </c>
      <c r="AM2" s="48" t="s">
        <v>146</v>
      </c>
      <c r="AN2" s="48" t="s">
        <v>147</v>
      </c>
      <c r="AO2" s="48" t="s">
        <v>148</v>
      </c>
      <c r="AP2" s="48" t="s">
        <v>149</v>
      </c>
      <c r="AQ2" s="48" t="s">
        <v>150</v>
      </c>
      <c r="AR2" s="48" t="s">
        <v>151</v>
      </c>
      <c r="AS2" s="48" t="s">
        <v>152</v>
      </c>
      <c r="AT2" s="48" t="s">
        <v>153</v>
      </c>
      <c r="AU2" s="48" t="s">
        <v>154</v>
      </c>
      <c r="AV2" s="48" t="s">
        <v>155</v>
      </c>
      <c r="AW2" s="33" t="s">
        <v>158</v>
      </c>
      <c r="AX2" s="5"/>
    </row>
    <row r="3" spans="1:50" ht="34.5" customHeight="1" x14ac:dyDescent="0.3">
      <c r="A3" s="116" t="s">
        <v>349</v>
      </c>
      <c r="B3" s="22" t="str">
        <f>B2</f>
        <v>SPF Name</v>
      </c>
      <c r="C3" s="22" t="str">
        <f>C2</f>
        <v>AWS Name</v>
      </c>
      <c r="D3" s="24" t="str">
        <f>D2</f>
        <v>Roadway System</v>
      </c>
      <c r="E3" s="22" t="str">
        <f t="shared" ref="E3:AW3" si="0">E2</f>
        <v>Area Type</v>
      </c>
      <c r="F3" s="22" t="str">
        <f t="shared" si="0"/>
        <v>Freeway/ Non-Freeway</v>
      </c>
      <c r="G3" s="22" t="str">
        <f t="shared" si="0"/>
        <v>Divided/ Undivided</v>
      </c>
      <c r="H3" s="22" t="str">
        <f t="shared" si="0"/>
        <v>Median Type</v>
      </c>
      <c r="I3" s="22" t="str">
        <f>I2</f>
        <v>Number of Lanes</v>
      </c>
      <c r="J3" s="22" t="str">
        <f t="shared" si="0"/>
        <v>AADT Min</v>
      </c>
      <c r="K3" s="22" t="str">
        <f t="shared" si="0"/>
        <v>AADT Max</v>
      </c>
      <c r="L3" s="30">
        <v>1</v>
      </c>
      <c r="M3" s="24" t="str">
        <f t="shared" si="0"/>
        <v>Equation</v>
      </c>
      <c r="N3" s="22" t="str">
        <f t="shared" ref="N3:S3" si="1">N2</f>
        <v>Equation Form</v>
      </c>
      <c r="O3" s="22" t="str">
        <f t="shared" si="1"/>
        <v>Form 1 Num</v>
      </c>
      <c r="P3" s="22" t="str">
        <f t="shared" si="1"/>
        <v>Form 1 Exp Coeff</v>
      </c>
      <c r="Q3" s="22" t="str">
        <f t="shared" si="1"/>
        <v>Form 1 AADT Coeff</v>
      </c>
      <c r="R3" s="22" t="str">
        <f t="shared" si="1"/>
        <v>Form 1 End Factor</v>
      </c>
      <c r="S3" s="22" t="str">
        <f t="shared" si="1"/>
        <v>Form 2 Exp Coeff</v>
      </c>
      <c r="T3" s="22" t="str">
        <f t="shared" ref="T3" si="2">T2</f>
        <v>Form 2 AADT Coeff</v>
      </c>
      <c r="U3" s="22" t="str">
        <f t="shared" si="0"/>
        <v>KABC Scaler</v>
      </c>
      <c r="V3" s="22" t="str">
        <f t="shared" si="0"/>
        <v>Dispersion Parameter</v>
      </c>
      <c r="W3" s="34">
        <v>2</v>
      </c>
      <c r="X3" s="22" t="str">
        <f t="shared" si="0"/>
        <v>Intercept S.E.</v>
      </c>
      <c r="Y3" s="22" t="str">
        <f t="shared" si="0"/>
        <v>AADT S.E.</v>
      </c>
      <c r="Z3" s="22" t="str">
        <f t="shared" si="0"/>
        <v>Dispersion Parameter S.E.</v>
      </c>
      <c r="AA3" s="22" t="str">
        <f t="shared" si="0"/>
        <v>Number of Sites</v>
      </c>
      <c r="AB3" s="22" t="str">
        <f t="shared" si="0"/>
        <v>Min. Major AADT</v>
      </c>
      <c r="AC3" s="22" t="str">
        <f t="shared" si="0"/>
        <v>Max. Major AADT</v>
      </c>
      <c r="AD3" s="22" t="str">
        <f t="shared" si="0"/>
        <v>Min. Minor AADT</v>
      </c>
      <c r="AE3" s="22" t="str">
        <f t="shared" si="0"/>
        <v>Max. Minor AADT</v>
      </c>
      <c r="AF3" s="34" t="str">
        <f t="shared" si="0"/>
        <v>3</v>
      </c>
      <c r="AG3" s="22" t="str">
        <f t="shared" si="0"/>
        <v>SPF Group</v>
      </c>
      <c r="AH3" s="22" t="str">
        <f>AH2</f>
        <v>Model Form (Report)</v>
      </c>
      <c r="AI3" s="22" t="str">
        <f t="shared" si="0"/>
        <v>Model Form (Spreadsheet)</v>
      </c>
      <c r="AJ3" s="22" t="str">
        <f t="shared" si="0"/>
        <v>Notes</v>
      </c>
      <c r="AK3" s="51" t="str">
        <f t="shared" si="0"/>
        <v>32</v>
      </c>
      <c r="AL3" s="52" t="str">
        <f t="shared" si="0"/>
        <v>K - Crashes</v>
      </c>
      <c r="AM3" s="52" t="str">
        <f t="shared" si="0"/>
        <v>A - Crashes</v>
      </c>
      <c r="AN3" s="52" t="str">
        <f t="shared" si="0"/>
        <v>B - Crashes</v>
      </c>
      <c r="AO3" s="52" t="str">
        <f t="shared" si="0"/>
        <v>C - Crashes</v>
      </c>
      <c r="AP3" s="52" t="str">
        <f t="shared" si="0"/>
        <v>O - Crashes</v>
      </c>
      <c r="AQ3" s="52" t="str">
        <f t="shared" si="0"/>
        <v>Total</v>
      </c>
      <c r="AR3" s="52" t="str">
        <f t="shared" si="0"/>
        <v>K - Prop</v>
      </c>
      <c r="AS3" s="52" t="str">
        <f t="shared" si="0"/>
        <v>A - Prop</v>
      </c>
      <c r="AT3" s="52" t="str">
        <f t="shared" si="0"/>
        <v>B - Prop</v>
      </c>
      <c r="AU3" s="52" t="str">
        <f t="shared" si="0"/>
        <v>C - Prop</v>
      </c>
      <c r="AV3" s="52" t="str">
        <f t="shared" si="0"/>
        <v>O - Prop</v>
      </c>
      <c r="AW3" s="51" t="str">
        <f t="shared" si="0"/>
        <v>33</v>
      </c>
      <c r="AX3" s="5"/>
    </row>
    <row r="4" spans="1:50" x14ac:dyDescent="0.3">
      <c r="A4" s="116"/>
      <c r="B4" s="23">
        <f>COLUMN()-1</f>
        <v>1</v>
      </c>
      <c r="C4" s="23">
        <f>COLUMN()-1</f>
        <v>2</v>
      </c>
      <c r="D4" s="25">
        <f t="shared" ref="D4:AW4" si="3">COLUMN()-1</f>
        <v>3</v>
      </c>
      <c r="E4" s="23">
        <f t="shared" si="3"/>
        <v>4</v>
      </c>
      <c r="F4" s="23">
        <f t="shared" si="3"/>
        <v>5</v>
      </c>
      <c r="G4" s="23">
        <f t="shared" si="3"/>
        <v>6</v>
      </c>
      <c r="H4" s="23">
        <f t="shared" si="3"/>
        <v>7</v>
      </c>
      <c r="I4" s="23">
        <f t="shared" si="3"/>
        <v>8</v>
      </c>
      <c r="J4" s="23">
        <f t="shared" si="3"/>
        <v>9</v>
      </c>
      <c r="K4" s="23">
        <f t="shared" si="3"/>
        <v>10</v>
      </c>
      <c r="L4" s="31">
        <f t="shared" si="3"/>
        <v>11</v>
      </c>
      <c r="M4" s="25">
        <f t="shared" si="3"/>
        <v>12</v>
      </c>
      <c r="N4" s="23">
        <f t="shared" si="3"/>
        <v>13</v>
      </c>
      <c r="O4" s="23">
        <f t="shared" si="3"/>
        <v>14</v>
      </c>
      <c r="P4" s="23">
        <f t="shared" si="3"/>
        <v>15</v>
      </c>
      <c r="Q4" s="23">
        <f t="shared" si="3"/>
        <v>16</v>
      </c>
      <c r="R4" s="23">
        <f t="shared" si="3"/>
        <v>17</v>
      </c>
      <c r="S4" s="23">
        <f t="shared" si="3"/>
        <v>18</v>
      </c>
      <c r="T4" s="23">
        <f t="shared" si="3"/>
        <v>19</v>
      </c>
      <c r="U4" s="23">
        <f t="shared" si="3"/>
        <v>20</v>
      </c>
      <c r="V4" s="23">
        <f t="shared" si="3"/>
        <v>21</v>
      </c>
      <c r="W4" s="35">
        <f t="shared" si="3"/>
        <v>22</v>
      </c>
      <c r="X4" s="23">
        <f t="shared" si="3"/>
        <v>23</v>
      </c>
      <c r="Y4" s="23">
        <f t="shared" si="3"/>
        <v>24</v>
      </c>
      <c r="Z4" s="23">
        <f t="shared" si="3"/>
        <v>25</v>
      </c>
      <c r="AA4" s="23">
        <f t="shared" si="3"/>
        <v>26</v>
      </c>
      <c r="AB4" s="23">
        <f t="shared" si="3"/>
        <v>27</v>
      </c>
      <c r="AC4" s="23">
        <f t="shared" si="3"/>
        <v>28</v>
      </c>
      <c r="AD4" s="23">
        <f t="shared" si="3"/>
        <v>29</v>
      </c>
      <c r="AE4" s="23">
        <f t="shared" si="3"/>
        <v>30</v>
      </c>
      <c r="AF4" s="35">
        <f t="shared" si="3"/>
        <v>31</v>
      </c>
      <c r="AG4" s="23">
        <f t="shared" si="3"/>
        <v>32</v>
      </c>
      <c r="AH4" s="23">
        <f t="shared" si="3"/>
        <v>33</v>
      </c>
      <c r="AI4" s="23">
        <f t="shared" si="3"/>
        <v>34</v>
      </c>
      <c r="AJ4" s="23">
        <f t="shared" si="3"/>
        <v>35</v>
      </c>
      <c r="AK4" s="51">
        <f t="shared" si="3"/>
        <v>36</v>
      </c>
      <c r="AL4" s="52">
        <f t="shared" si="3"/>
        <v>37</v>
      </c>
      <c r="AM4" s="52">
        <f t="shared" si="3"/>
        <v>38</v>
      </c>
      <c r="AN4" s="52">
        <f t="shared" si="3"/>
        <v>39</v>
      </c>
      <c r="AO4" s="52">
        <f t="shared" si="3"/>
        <v>40</v>
      </c>
      <c r="AP4" s="52">
        <f t="shared" si="3"/>
        <v>41</v>
      </c>
      <c r="AQ4" s="52">
        <f t="shared" si="3"/>
        <v>42</v>
      </c>
      <c r="AR4" s="52">
        <f t="shared" si="3"/>
        <v>43</v>
      </c>
      <c r="AS4" s="52">
        <f t="shared" si="3"/>
        <v>44</v>
      </c>
      <c r="AT4" s="52">
        <f t="shared" si="3"/>
        <v>45</v>
      </c>
      <c r="AU4" s="52">
        <f t="shared" si="3"/>
        <v>46</v>
      </c>
      <c r="AV4" s="52">
        <f t="shared" si="3"/>
        <v>47</v>
      </c>
      <c r="AW4" s="51">
        <f t="shared" si="3"/>
        <v>48</v>
      </c>
      <c r="AX4" s="5"/>
    </row>
    <row r="5" spans="1:50" x14ac:dyDescent="0.3">
      <c r="A5" s="82"/>
      <c r="B5" t="s">
        <v>311</v>
      </c>
      <c r="C5" t="s">
        <v>207</v>
      </c>
      <c r="D5" t="s">
        <v>310</v>
      </c>
      <c r="E5" t="s">
        <v>167</v>
      </c>
      <c r="F5" t="s">
        <v>260</v>
      </c>
      <c r="G5" t="s">
        <v>261</v>
      </c>
      <c r="H5" t="s">
        <v>262</v>
      </c>
      <c r="I5" s="81" t="s">
        <v>305</v>
      </c>
      <c r="J5" s="3">
        <v>0</v>
      </c>
      <c r="K5" s="3">
        <v>250</v>
      </c>
      <c r="M5" s="97" t="s">
        <v>468</v>
      </c>
      <c r="N5" s="98" t="s">
        <v>353</v>
      </c>
      <c r="O5" s="95"/>
      <c r="P5" s="95"/>
      <c r="Q5" s="95"/>
      <c r="R5" s="95"/>
      <c r="S5" s="95">
        <v>-4.2789999999999999</v>
      </c>
      <c r="T5" s="95">
        <v>0.55649999999999999</v>
      </c>
      <c r="U5" s="103">
        <v>0.28620000000000001</v>
      </c>
      <c r="V5" s="99">
        <v>107.00493988927175</v>
      </c>
    </row>
    <row r="6" spans="1:50" x14ac:dyDescent="0.3">
      <c r="A6" s="82"/>
      <c r="B6" t="s">
        <v>312</v>
      </c>
      <c r="C6" t="s">
        <v>209</v>
      </c>
      <c r="D6" t="s">
        <v>310</v>
      </c>
      <c r="E6" t="s">
        <v>167</v>
      </c>
      <c r="F6" t="s">
        <v>260</v>
      </c>
      <c r="G6" t="s">
        <v>261</v>
      </c>
      <c r="H6" t="s">
        <v>262</v>
      </c>
      <c r="I6" s="81" t="s">
        <v>305</v>
      </c>
      <c r="J6" s="3">
        <v>251</v>
      </c>
      <c r="K6" s="3">
        <v>400</v>
      </c>
      <c r="M6" s="97" t="s">
        <v>469</v>
      </c>
      <c r="N6" s="98" t="s">
        <v>353</v>
      </c>
      <c r="O6" s="95"/>
      <c r="P6" s="95"/>
      <c r="Q6" s="95"/>
      <c r="R6" s="95"/>
      <c r="S6" s="95">
        <v>-6.6050000000000004</v>
      </c>
      <c r="T6" s="95">
        <v>0.9355</v>
      </c>
      <c r="U6" s="98">
        <v>0.33750000000000002</v>
      </c>
      <c r="V6" s="99">
        <v>35.220183845405806</v>
      </c>
    </row>
    <row r="7" spans="1:50" x14ac:dyDescent="0.3">
      <c r="A7" s="82"/>
      <c r="B7" t="s">
        <v>313</v>
      </c>
      <c r="C7" t="s">
        <v>210</v>
      </c>
      <c r="D7" t="s">
        <v>310</v>
      </c>
      <c r="E7" t="s">
        <v>167</v>
      </c>
      <c r="F7" t="s">
        <v>260</v>
      </c>
      <c r="G7" t="s">
        <v>261</v>
      </c>
      <c r="H7" t="s">
        <v>262</v>
      </c>
      <c r="I7" s="81" t="s">
        <v>305</v>
      </c>
      <c r="J7" s="3">
        <v>401</v>
      </c>
      <c r="K7" s="3">
        <v>750</v>
      </c>
      <c r="M7" s="97" t="s">
        <v>470</v>
      </c>
      <c r="N7" s="98" t="s">
        <v>353</v>
      </c>
      <c r="O7" s="95"/>
      <c r="P7" s="95"/>
      <c r="Q7" s="95"/>
      <c r="R7" s="95"/>
      <c r="S7" s="95">
        <v>-9.266</v>
      </c>
      <c r="T7" s="95">
        <v>1.3220000000000001</v>
      </c>
      <c r="U7" s="98">
        <v>0.33179999999999998</v>
      </c>
      <c r="V7" s="99">
        <v>34.675104814616681</v>
      </c>
    </row>
    <row r="8" spans="1:50" x14ac:dyDescent="0.3">
      <c r="A8" s="82"/>
      <c r="B8" t="s">
        <v>354</v>
      </c>
      <c r="C8" t="s">
        <v>211</v>
      </c>
      <c r="D8" t="s">
        <v>310</v>
      </c>
      <c r="E8" t="s">
        <v>167</v>
      </c>
      <c r="F8" t="s">
        <v>260</v>
      </c>
      <c r="G8" t="s">
        <v>261</v>
      </c>
      <c r="H8" t="s">
        <v>262</v>
      </c>
      <c r="I8" s="81" t="s">
        <v>305</v>
      </c>
      <c r="J8" s="3">
        <v>751</v>
      </c>
      <c r="K8" s="3">
        <v>1500</v>
      </c>
      <c r="M8" s="97" t="s">
        <v>471</v>
      </c>
      <c r="N8" s="98" t="s">
        <v>353</v>
      </c>
      <c r="O8" s="95"/>
      <c r="P8" s="95"/>
      <c r="Q8" s="95"/>
      <c r="R8" s="95"/>
      <c r="S8" s="95">
        <v>-4.7430000000000003</v>
      </c>
      <c r="T8" s="95">
        <v>0.61550000000000005</v>
      </c>
      <c r="U8" s="98">
        <v>0.32719999999999999</v>
      </c>
      <c r="V8" s="99">
        <v>22.29284865543033</v>
      </c>
    </row>
    <row r="9" spans="1:50" x14ac:dyDescent="0.3">
      <c r="A9" s="82"/>
      <c r="B9" t="s">
        <v>314</v>
      </c>
      <c r="C9" t="s">
        <v>208</v>
      </c>
      <c r="D9" t="s">
        <v>310</v>
      </c>
      <c r="E9" t="s">
        <v>167</v>
      </c>
      <c r="F9" t="s">
        <v>260</v>
      </c>
      <c r="G9" t="s">
        <v>261</v>
      </c>
      <c r="H9" t="s">
        <v>262</v>
      </c>
      <c r="I9" s="81" t="s">
        <v>305</v>
      </c>
      <c r="J9" s="3">
        <v>1501</v>
      </c>
      <c r="K9" s="3">
        <v>3500</v>
      </c>
      <c r="M9" s="97" t="s">
        <v>472</v>
      </c>
      <c r="N9" s="98" t="s">
        <v>353</v>
      </c>
      <c r="O9" s="95"/>
      <c r="P9" s="95"/>
      <c r="Q9" s="95"/>
      <c r="R9" s="95"/>
      <c r="S9" s="95">
        <v>-4.2309999999999999</v>
      </c>
      <c r="T9" s="95">
        <v>0.55320000000000003</v>
      </c>
      <c r="U9" s="98">
        <v>0.3165</v>
      </c>
      <c r="V9" s="99">
        <v>14.157694459349301</v>
      </c>
    </row>
    <row r="10" spans="1:50" x14ac:dyDescent="0.3">
      <c r="A10" s="82"/>
      <c r="B10" t="s">
        <v>315</v>
      </c>
      <c r="C10" t="s">
        <v>358</v>
      </c>
      <c r="D10" t="s">
        <v>310</v>
      </c>
      <c r="E10" t="s">
        <v>167</v>
      </c>
      <c r="F10" t="s">
        <v>260</v>
      </c>
      <c r="G10" t="s">
        <v>261</v>
      </c>
      <c r="H10" t="s">
        <v>262</v>
      </c>
      <c r="I10" s="81" t="s">
        <v>305</v>
      </c>
      <c r="J10" s="3">
        <v>3501</v>
      </c>
      <c r="K10" s="3">
        <v>1000000</v>
      </c>
      <c r="M10" s="97" t="s">
        <v>473</v>
      </c>
      <c r="N10" s="98" t="s">
        <v>353</v>
      </c>
      <c r="O10" s="95"/>
      <c r="P10" s="95"/>
      <c r="Q10" s="95"/>
      <c r="R10" s="95"/>
      <c r="S10" s="95">
        <v>4.0469999999999997</v>
      </c>
      <c r="T10" s="95">
        <v>-0.39319999999999999</v>
      </c>
      <c r="U10" s="98">
        <v>0.30959999999999999</v>
      </c>
      <c r="V10" s="99">
        <v>13.13285838721724</v>
      </c>
    </row>
    <row r="11" spans="1:50" x14ac:dyDescent="0.3">
      <c r="A11" s="82"/>
      <c r="B11" s="6" t="s">
        <v>316</v>
      </c>
      <c r="C11" t="s">
        <v>207</v>
      </c>
      <c r="D11" t="s">
        <v>310</v>
      </c>
      <c r="E11" t="s">
        <v>167</v>
      </c>
      <c r="F11" t="s">
        <v>260</v>
      </c>
      <c r="G11" t="s">
        <v>302</v>
      </c>
      <c r="H11" t="s">
        <v>262</v>
      </c>
      <c r="I11" s="81" t="s">
        <v>305</v>
      </c>
      <c r="J11" s="3">
        <v>0</v>
      </c>
      <c r="K11" s="3">
        <v>250</v>
      </c>
      <c r="M11" s="97" t="s">
        <v>468</v>
      </c>
      <c r="N11" s="98" t="s">
        <v>353</v>
      </c>
      <c r="O11" s="95"/>
      <c r="P11" s="95"/>
      <c r="Q11" s="95"/>
      <c r="R11" s="95"/>
      <c r="S11" s="95">
        <v>-4.2789999999999999</v>
      </c>
      <c r="T11" s="95">
        <v>0.55649999999999999</v>
      </c>
      <c r="U11" s="103">
        <v>0.28620000000000001</v>
      </c>
      <c r="V11" s="99">
        <v>107.00493988927175</v>
      </c>
    </row>
    <row r="12" spans="1:50" x14ac:dyDescent="0.3">
      <c r="A12" s="82"/>
      <c r="B12" s="6" t="s">
        <v>317</v>
      </c>
      <c r="C12" t="s">
        <v>209</v>
      </c>
      <c r="D12" t="s">
        <v>310</v>
      </c>
      <c r="E12" t="s">
        <v>167</v>
      </c>
      <c r="F12" t="s">
        <v>260</v>
      </c>
      <c r="G12" t="s">
        <v>302</v>
      </c>
      <c r="H12" t="s">
        <v>262</v>
      </c>
      <c r="I12" s="81" t="s">
        <v>305</v>
      </c>
      <c r="J12" s="3">
        <v>251</v>
      </c>
      <c r="K12" s="3">
        <v>400</v>
      </c>
      <c r="M12" s="97" t="s">
        <v>469</v>
      </c>
      <c r="N12" s="98" t="s">
        <v>353</v>
      </c>
      <c r="O12" s="95"/>
      <c r="P12" s="95"/>
      <c r="Q12" s="95"/>
      <c r="R12" s="95"/>
      <c r="S12" s="95">
        <v>-6.6050000000000004</v>
      </c>
      <c r="T12" s="95">
        <v>0.9355</v>
      </c>
      <c r="U12" s="98">
        <v>0.33750000000000002</v>
      </c>
      <c r="V12" s="99">
        <v>35.220183845405806</v>
      </c>
    </row>
    <row r="13" spans="1:50" x14ac:dyDescent="0.3">
      <c r="A13" s="82"/>
      <c r="B13" s="6" t="s">
        <v>318</v>
      </c>
      <c r="C13" t="s">
        <v>210</v>
      </c>
      <c r="D13" t="s">
        <v>310</v>
      </c>
      <c r="E13" t="s">
        <v>167</v>
      </c>
      <c r="F13" t="s">
        <v>260</v>
      </c>
      <c r="G13" t="s">
        <v>302</v>
      </c>
      <c r="H13" t="s">
        <v>262</v>
      </c>
      <c r="I13" s="81" t="s">
        <v>305</v>
      </c>
      <c r="J13" s="3">
        <v>401</v>
      </c>
      <c r="K13" s="3">
        <v>750</v>
      </c>
      <c r="M13" s="97" t="s">
        <v>470</v>
      </c>
      <c r="N13" s="98" t="s">
        <v>353</v>
      </c>
      <c r="O13" s="95"/>
      <c r="P13" s="95"/>
      <c r="Q13" s="95"/>
      <c r="R13" s="95"/>
      <c r="S13" s="95">
        <v>-9.266</v>
      </c>
      <c r="T13" s="95">
        <v>1.3220000000000001</v>
      </c>
      <c r="U13" s="98">
        <v>0.33179999999999998</v>
      </c>
      <c r="V13" s="99">
        <v>34.675104814616681</v>
      </c>
    </row>
    <row r="14" spans="1:50" x14ac:dyDescent="0.3">
      <c r="A14" s="82"/>
      <c r="B14" s="6" t="s">
        <v>355</v>
      </c>
      <c r="C14" t="s">
        <v>211</v>
      </c>
      <c r="D14" t="s">
        <v>310</v>
      </c>
      <c r="E14" t="s">
        <v>167</v>
      </c>
      <c r="F14" t="s">
        <v>260</v>
      </c>
      <c r="G14" t="s">
        <v>302</v>
      </c>
      <c r="H14" t="s">
        <v>262</v>
      </c>
      <c r="I14" s="81" t="s">
        <v>305</v>
      </c>
      <c r="J14" s="3">
        <v>751</v>
      </c>
      <c r="K14" s="3">
        <v>1500</v>
      </c>
      <c r="M14" s="97" t="s">
        <v>471</v>
      </c>
      <c r="N14" s="98" t="s">
        <v>353</v>
      </c>
      <c r="O14" s="95"/>
      <c r="P14" s="95"/>
      <c r="Q14" s="95"/>
      <c r="R14" s="95"/>
      <c r="S14" s="95">
        <v>-4.7430000000000003</v>
      </c>
      <c r="T14" s="95">
        <v>0.61550000000000005</v>
      </c>
      <c r="U14" s="98">
        <v>0.32719999999999999</v>
      </c>
      <c r="V14" s="99">
        <v>22.29284865543033</v>
      </c>
    </row>
    <row r="15" spans="1:50" x14ac:dyDescent="0.3">
      <c r="A15" s="82"/>
      <c r="B15" s="6" t="s">
        <v>319</v>
      </c>
      <c r="C15" t="s">
        <v>208</v>
      </c>
      <c r="D15" t="s">
        <v>310</v>
      </c>
      <c r="E15" t="s">
        <v>167</v>
      </c>
      <c r="F15" t="s">
        <v>260</v>
      </c>
      <c r="G15" t="s">
        <v>302</v>
      </c>
      <c r="H15" t="s">
        <v>262</v>
      </c>
      <c r="I15" s="81" t="s">
        <v>305</v>
      </c>
      <c r="J15" s="3">
        <v>1501</v>
      </c>
      <c r="K15" s="3">
        <v>3500</v>
      </c>
      <c r="M15" s="97" t="s">
        <v>472</v>
      </c>
      <c r="N15" s="98" t="s">
        <v>353</v>
      </c>
      <c r="O15" s="95"/>
      <c r="P15" s="95"/>
      <c r="Q15" s="95"/>
      <c r="R15" s="95"/>
      <c r="S15" s="95">
        <v>-4.2309999999999999</v>
      </c>
      <c r="T15" s="95">
        <v>0.55320000000000003</v>
      </c>
      <c r="U15" s="98">
        <v>0.3165</v>
      </c>
      <c r="V15" s="99">
        <v>14.157694459349301</v>
      </c>
    </row>
    <row r="16" spans="1:50" x14ac:dyDescent="0.3">
      <c r="A16" s="82"/>
      <c r="B16" s="6" t="s">
        <v>320</v>
      </c>
      <c r="C16" t="s">
        <v>358</v>
      </c>
      <c r="D16" t="s">
        <v>310</v>
      </c>
      <c r="E16" t="s">
        <v>167</v>
      </c>
      <c r="F16" t="s">
        <v>260</v>
      </c>
      <c r="G16" t="s">
        <v>302</v>
      </c>
      <c r="H16" t="s">
        <v>262</v>
      </c>
      <c r="I16" s="81" t="s">
        <v>305</v>
      </c>
      <c r="J16" s="3">
        <v>3501</v>
      </c>
      <c r="K16" s="3">
        <v>1000000</v>
      </c>
      <c r="M16" s="97" t="s">
        <v>473</v>
      </c>
      <c r="N16" s="98" t="s">
        <v>353</v>
      </c>
      <c r="O16" s="95"/>
      <c r="P16" s="95"/>
      <c r="Q16" s="95"/>
      <c r="R16" s="95"/>
      <c r="S16" s="95">
        <v>4.0469999999999997</v>
      </c>
      <c r="T16" s="95">
        <v>-0.39319999999999999</v>
      </c>
      <c r="U16" s="98">
        <v>0.30959999999999999</v>
      </c>
      <c r="V16" s="99">
        <v>13.13285838721724</v>
      </c>
    </row>
    <row r="17" spans="1:22" x14ac:dyDescent="0.3">
      <c r="A17" s="55"/>
      <c r="B17" t="s">
        <v>322</v>
      </c>
      <c r="C17" t="s">
        <v>212</v>
      </c>
      <c r="D17" t="s">
        <v>310</v>
      </c>
      <c r="E17" t="s">
        <v>167</v>
      </c>
      <c r="F17" t="s">
        <v>260</v>
      </c>
      <c r="G17" t="s">
        <v>261</v>
      </c>
      <c r="H17" t="s">
        <v>262</v>
      </c>
      <c r="I17" s="81" t="s">
        <v>303</v>
      </c>
      <c r="J17" s="3">
        <v>0</v>
      </c>
      <c r="K17" s="3">
        <v>1000000</v>
      </c>
      <c r="M17" s="97" t="s">
        <v>474</v>
      </c>
      <c r="N17" s="98" t="s">
        <v>353</v>
      </c>
      <c r="O17" s="95"/>
      <c r="P17" s="95"/>
      <c r="Q17" s="95"/>
      <c r="R17" s="95"/>
      <c r="S17" s="95">
        <v>-2.052</v>
      </c>
      <c r="T17" s="95">
        <v>0.26729999999999998</v>
      </c>
      <c r="U17" s="98">
        <v>0.29809999999999998</v>
      </c>
      <c r="V17" s="99">
        <v>15.808698684037413</v>
      </c>
    </row>
    <row r="18" spans="1:22" x14ac:dyDescent="0.3">
      <c r="A18" s="55"/>
      <c r="B18" s="6" t="s">
        <v>321</v>
      </c>
      <c r="C18" t="s">
        <v>212</v>
      </c>
      <c r="D18" t="s">
        <v>310</v>
      </c>
      <c r="E18" t="s">
        <v>167</v>
      </c>
      <c r="F18" t="s">
        <v>260</v>
      </c>
      <c r="G18" t="s">
        <v>302</v>
      </c>
      <c r="H18" t="s">
        <v>262</v>
      </c>
      <c r="I18" s="81" t="s">
        <v>303</v>
      </c>
      <c r="J18" s="3">
        <v>0</v>
      </c>
      <c r="K18" s="3">
        <v>1000000</v>
      </c>
      <c r="M18" s="97" t="s">
        <v>474</v>
      </c>
      <c r="N18" s="98" t="s">
        <v>353</v>
      </c>
      <c r="O18" s="95"/>
      <c r="P18" s="95"/>
      <c r="Q18" s="95"/>
      <c r="R18" s="95"/>
      <c r="S18" s="95">
        <v>-2.052</v>
      </c>
      <c r="T18" s="95">
        <v>0.26729999999999998</v>
      </c>
      <c r="U18" s="98">
        <v>0.29809999999999998</v>
      </c>
      <c r="V18" s="99">
        <v>15.808698684037413</v>
      </c>
    </row>
    <row r="19" spans="1:22" x14ac:dyDescent="0.3">
      <c r="A19" s="84"/>
      <c r="B19" t="s">
        <v>264</v>
      </c>
      <c r="C19" t="s">
        <v>213</v>
      </c>
      <c r="D19" t="s">
        <v>310</v>
      </c>
      <c r="E19" t="s">
        <v>167</v>
      </c>
      <c r="I19" s="81"/>
      <c r="M19" s="97" t="s">
        <v>475</v>
      </c>
      <c r="N19" s="98" t="s">
        <v>353</v>
      </c>
      <c r="O19" s="95"/>
      <c r="P19" s="95"/>
      <c r="Q19" s="95"/>
      <c r="R19" s="95"/>
      <c r="S19" s="95">
        <v>-1.663</v>
      </c>
      <c r="T19" s="95">
        <v>-6.9919999999999996E-2</v>
      </c>
      <c r="U19" s="103">
        <v>0.23250000000000001</v>
      </c>
      <c r="V19" s="99">
        <v>116.15849733195073</v>
      </c>
    </row>
    <row r="20" spans="1:22" x14ac:dyDescent="0.3">
      <c r="A20" s="56"/>
      <c r="B20" t="s">
        <v>323</v>
      </c>
      <c r="C20" t="s">
        <v>214</v>
      </c>
      <c r="D20" t="s">
        <v>310</v>
      </c>
      <c r="E20" t="s">
        <v>168</v>
      </c>
      <c r="F20" t="s">
        <v>260</v>
      </c>
      <c r="G20" t="s">
        <v>261</v>
      </c>
      <c r="H20" t="s">
        <v>262</v>
      </c>
      <c r="I20" s="81" t="s">
        <v>305</v>
      </c>
      <c r="J20" s="3">
        <v>0</v>
      </c>
      <c r="K20" s="3">
        <v>250</v>
      </c>
      <c r="M20" s="97" t="s">
        <v>476</v>
      </c>
      <c r="N20" s="98" t="s">
        <v>353</v>
      </c>
      <c r="O20" s="95"/>
      <c r="P20" s="95"/>
      <c r="Q20" s="95"/>
      <c r="R20" s="95"/>
      <c r="S20" s="95">
        <v>-3.2010000000000001</v>
      </c>
      <c r="T20" s="95">
        <v>0.64239999999999997</v>
      </c>
      <c r="U20" s="103">
        <v>0.1767</v>
      </c>
      <c r="V20" s="99">
        <v>32.934795914156581</v>
      </c>
    </row>
    <row r="21" spans="1:22" x14ac:dyDescent="0.3">
      <c r="A21" s="56"/>
      <c r="B21" t="s">
        <v>324</v>
      </c>
      <c r="C21" t="s">
        <v>216</v>
      </c>
      <c r="D21" t="s">
        <v>310</v>
      </c>
      <c r="E21" t="s">
        <v>168</v>
      </c>
      <c r="F21" t="s">
        <v>260</v>
      </c>
      <c r="G21" t="s">
        <v>261</v>
      </c>
      <c r="H21" t="s">
        <v>262</v>
      </c>
      <c r="I21" s="81" t="s">
        <v>305</v>
      </c>
      <c r="J21" s="3">
        <v>251</v>
      </c>
      <c r="K21" s="3">
        <v>400</v>
      </c>
      <c r="M21" s="97" t="s">
        <v>477</v>
      </c>
      <c r="N21" s="98" t="s">
        <v>353</v>
      </c>
      <c r="O21" s="95"/>
      <c r="P21" s="95"/>
      <c r="Q21" s="95"/>
      <c r="R21" s="95"/>
      <c r="S21" s="95">
        <v>-3.4020000000000001</v>
      </c>
      <c r="T21" s="95">
        <v>0.67430000000000001</v>
      </c>
      <c r="U21" s="98">
        <v>0.1862</v>
      </c>
      <c r="V21" s="99">
        <v>14.621413704690214</v>
      </c>
    </row>
    <row r="22" spans="1:22" x14ac:dyDescent="0.3">
      <c r="A22" s="56"/>
      <c r="B22" t="s">
        <v>325</v>
      </c>
      <c r="C22" t="s">
        <v>218</v>
      </c>
      <c r="D22" t="s">
        <v>310</v>
      </c>
      <c r="E22" t="s">
        <v>168</v>
      </c>
      <c r="F22" t="s">
        <v>260</v>
      </c>
      <c r="G22" t="s">
        <v>261</v>
      </c>
      <c r="H22" t="s">
        <v>262</v>
      </c>
      <c r="I22" s="81" t="s">
        <v>305</v>
      </c>
      <c r="J22" s="3">
        <v>401</v>
      </c>
      <c r="K22" s="3">
        <v>750</v>
      </c>
      <c r="M22" s="97" t="s">
        <v>478</v>
      </c>
      <c r="N22" s="98" t="s">
        <v>353</v>
      </c>
      <c r="O22" s="95"/>
      <c r="P22" s="95"/>
      <c r="Q22" s="95"/>
      <c r="R22" s="95"/>
      <c r="S22" s="95">
        <v>-4.3070000000000004</v>
      </c>
      <c r="T22" s="95">
        <v>0.77359999999999995</v>
      </c>
      <c r="U22" s="98">
        <v>0.1991</v>
      </c>
      <c r="V22" s="99">
        <v>11.078831122337844</v>
      </c>
    </row>
    <row r="23" spans="1:22" x14ac:dyDescent="0.3">
      <c r="A23" s="56"/>
      <c r="B23" t="s">
        <v>356</v>
      </c>
      <c r="C23" t="s">
        <v>219</v>
      </c>
      <c r="D23" t="s">
        <v>310</v>
      </c>
      <c r="E23" t="s">
        <v>168</v>
      </c>
      <c r="F23" t="s">
        <v>260</v>
      </c>
      <c r="G23" t="s">
        <v>261</v>
      </c>
      <c r="H23" t="s">
        <v>262</v>
      </c>
      <c r="I23" s="81" t="s">
        <v>305</v>
      </c>
      <c r="J23" s="3">
        <v>751</v>
      </c>
      <c r="K23" s="3">
        <v>1500</v>
      </c>
      <c r="M23" s="97" t="s">
        <v>479</v>
      </c>
      <c r="N23" s="98" t="s">
        <v>353</v>
      </c>
      <c r="O23" s="95"/>
      <c r="P23" s="95"/>
      <c r="Q23" s="95"/>
      <c r="R23" s="95"/>
      <c r="S23" s="95">
        <v>-4.3230000000000004</v>
      </c>
      <c r="T23" s="95">
        <v>0.70569999999999999</v>
      </c>
      <c r="U23" s="98">
        <v>0.22850000000000001</v>
      </c>
      <c r="V23" s="99">
        <v>10.747982671403674</v>
      </c>
    </row>
    <row r="24" spans="1:22" x14ac:dyDescent="0.3">
      <c r="A24" s="56"/>
      <c r="B24" t="s">
        <v>326</v>
      </c>
      <c r="C24" t="s">
        <v>215</v>
      </c>
      <c r="D24" t="s">
        <v>310</v>
      </c>
      <c r="E24" t="s">
        <v>168</v>
      </c>
      <c r="F24" t="s">
        <v>260</v>
      </c>
      <c r="G24" t="s">
        <v>261</v>
      </c>
      <c r="H24" t="s">
        <v>262</v>
      </c>
      <c r="I24" s="81" t="s">
        <v>305</v>
      </c>
      <c r="J24" s="3">
        <v>1501</v>
      </c>
      <c r="K24" s="3">
        <v>3500</v>
      </c>
      <c r="M24" s="97" t="s">
        <v>480</v>
      </c>
      <c r="N24" s="98" t="s">
        <v>353</v>
      </c>
      <c r="O24" s="95"/>
      <c r="P24" s="95"/>
      <c r="Q24" s="95"/>
      <c r="R24" s="95"/>
      <c r="S24" s="95">
        <v>-3.6779999999999999</v>
      </c>
      <c r="T24" s="95">
        <v>0.61339999999999995</v>
      </c>
      <c r="U24" s="98">
        <v>0.2452</v>
      </c>
      <c r="V24" s="99">
        <v>8.8862410441297559</v>
      </c>
    </row>
    <row r="25" spans="1:22" x14ac:dyDescent="0.3">
      <c r="A25" s="56"/>
      <c r="B25" t="s">
        <v>327</v>
      </c>
      <c r="C25" t="s">
        <v>217</v>
      </c>
      <c r="D25" t="s">
        <v>310</v>
      </c>
      <c r="E25" t="s">
        <v>168</v>
      </c>
      <c r="F25" t="s">
        <v>260</v>
      </c>
      <c r="G25" t="s">
        <v>261</v>
      </c>
      <c r="H25" t="s">
        <v>262</v>
      </c>
      <c r="I25" s="81" t="s">
        <v>305</v>
      </c>
      <c r="J25" s="3">
        <v>3501</v>
      </c>
      <c r="K25" s="3">
        <v>7000</v>
      </c>
      <c r="M25" s="97" t="s">
        <v>481</v>
      </c>
      <c r="N25" s="98" t="s">
        <v>353</v>
      </c>
      <c r="O25" s="95"/>
      <c r="P25" s="95"/>
      <c r="Q25" s="95"/>
      <c r="R25" s="95"/>
      <c r="S25" s="95">
        <v>-5.8890000000000002</v>
      </c>
      <c r="T25" s="95">
        <v>0.88500000000000001</v>
      </c>
      <c r="U25" s="98">
        <v>0.25580000000000003</v>
      </c>
      <c r="V25" s="99">
        <v>5.3335358848385956</v>
      </c>
    </row>
    <row r="26" spans="1:22" x14ac:dyDescent="0.3">
      <c r="A26" s="56"/>
      <c r="B26" t="s">
        <v>328</v>
      </c>
      <c r="C26" t="s">
        <v>359</v>
      </c>
      <c r="D26" t="s">
        <v>310</v>
      </c>
      <c r="E26" t="s">
        <v>168</v>
      </c>
      <c r="F26" t="s">
        <v>260</v>
      </c>
      <c r="G26" t="s">
        <v>261</v>
      </c>
      <c r="H26" t="s">
        <v>262</v>
      </c>
      <c r="I26" s="81" t="s">
        <v>305</v>
      </c>
      <c r="J26" s="3">
        <v>7001</v>
      </c>
      <c r="K26" s="3">
        <v>1000000</v>
      </c>
      <c r="M26" s="97" t="s">
        <v>482</v>
      </c>
      <c r="N26" s="98" t="s">
        <v>353</v>
      </c>
      <c r="O26" s="95"/>
      <c r="P26" s="95"/>
      <c r="Q26" s="95"/>
      <c r="R26" s="95"/>
      <c r="S26" s="95">
        <v>-2.9089999999999998</v>
      </c>
      <c r="T26" s="95">
        <v>0.58350000000000002</v>
      </c>
      <c r="U26" s="98">
        <v>0.26500000000000001</v>
      </c>
      <c r="V26" s="99">
        <v>4.1635179422305626</v>
      </c>
    </row>
    <row r="27" spans="1:22" x14ac:dyDescent="0.3">
      <c r="A27" s="56"/>
      <c r="B27" s="6" t="s">
        <v>329</v>
      </c>
      <c r="C27" t="s">
        <v>214</v>
      </c>
      <c r="D27" t="s">
        <v>310</v>
      </c>
      <c r="E27" t="s">
        <v>168</v>
      </c>
      <c r="F27" t="s">
        <v>260</v>
      </c>
      <c r="G27" t="s">
        <v>302</v>
      </c>
      <c r="H27" t="s">
        <v>262</v>
      </c>
      <c r="I27" s="81" t="s">
        <v>305</v>
      </c>
      <c r="J27" s="3">
        <v>0</v>
      </c>
      <c r="K27" s="3">
        <v>250</v>
      </c>
      <c r="M27" s="97" t="s">
        <v>476</v>
      </c>
      <c r="N27" s="98" t="s">
        <v>353</v>
      </c>
      <c r="O27" s="95"/>
      <c r="P27" s="95"/>
      <c r="Q27" s="95"/>
      <c r="R27" s="95"/>
      <c r="S27" s="95">
        <v>-3.2010000000000001</v>
      </c>
      <c r="T27" s="95">
        <v>0.64239999999999997</v>
      </c>
      <c r="U27" s="103">
        <v>0.1767</v>
      </c>
      <c r="V27" s="99">
        <v>32.934795914156581</v>
      </c>
    </row>
    <row r="28" spans="1:22" x14ac:dyDescent="0.3">
      <c r="A28" s="56"/>
      <c r="B28" s="6" t="s">
        <v>330</v>
      </c>
      <c r="C28" t="s">
        <v>216</v>
      </c>
      <c r="D28" t="s">
        <v>310</v>
      </c>
      <c r="E28" t="s">
        <v>168</v>
      </c>
      <c r="F28" t="s">
        <v>260</v>
      </c>
      <c r="G28" t="s">
        <v>302</v>
      </c>
      <c r="H28" t="s">
        <v>262</v>
      </c>
      <c r="I28" s="81" t="s">
        <v>305</v>
      </c>
      <c r="J28" s="3">
        <v>251</v>
      </c>
      <c r="K28" s="3">
        <v>400</v>
      </c>
      <c r="M28" s="97" t="s">
        <v>477</v>
      </c>
      <c r="N28" s="98" t="s">
        <v>353</v>
      </c>
      <c r="O28" s="95"/>
      <c r="P28" s="95"/>
      <c r="Q28" s="95"/>
      <c r="R28" s="95"/>
      <c r="S28" s="95">
        <v>-3.4020000000000001</v>
      </c>
      <c r="T28" s="95">
        <v>0.67430000000000001</v>
      </c>
      <c r="U28" s="98">
        <v>0.1862</v>
      </c>
      <c r="V28" s="99">
        <v>14.621413704690214</v>
      </c>
    </row>
    <row r="29" spans="1:22" x14ac:dyDescent="0.3">
      <c r="A29" s="56"/>
      <c r="B29" s="6" t="s">
        <v>331</v>
      </c>
      <c r="C29" t="s">
        <v>218</v>
      </c>
      <c r="D29" t="s">
        <v>310</v>
      </c>
      <c r="E29" t="s">
        <v>168</v>
      </c>
      <c r="F29" t="s">
        <v>260</v>
      </c>
      <c r="G29" t="s">
        <v>302</v>
      </c>
      <c r="H29" t="s">
        <v>262</v>
      </c>
      <c r="I29" s="81" t="s">
        <v>305</v>
      </c>
      <c r="J29" s="3">
        <v>401</v>
      </c>
      <c r="K29" s="3">
        <v>750</v>
      </c>
      <c r="M29" s="97" t="s">
        <v>478</v>
      </c>
      <c r="N29" s="98" t="s">
        <v>353</v>
      </c>
      <c r="O29" s="95"/>
      <c r="P29" s="95"/>
      <c r="Q29" s="95"/>
      <c r="R29" s="95"/>
      <c r="S29" s="95">
        <v>-4.3070000000000004</v>
      </c>
      <c r="T29" s="95">
        <v>0.77359999999999995</v>
      </c>
      <c r="U29" s="98">
        <v>0.1991</v>
      </c>
      <c r="V29" s="99">
        <v>11.078831122337844</v>
      </c>
    </row>
    <row r="30" spans="1:22" x14ac:dyDescent="0.3">
      <c r="A30" s="56"/>
      <c r="B30" s="6" t="s">
        <v>357</v>
      </c>
      <c r="C30" t="s">
        <v>219</v>
      </c>
      <c r="D30" t="s">
        <v>310</v>
      </c>
      <c r="E30" t="s">
        <v>168</v>
      </c>
      <c r="F30" t="s">
        <v>260</v>
      </c>
      <c r="G30" t="s">
        <v>302</v>
      </c>
      <c r="H30" t="s">
        <v>262</v>
      </c>
      <c r="I30" s="81" t="s">
        <v>305</v>
      </c>
      <c r="J30" s="3">
        <v>751</v>
      </c>
      <c r="K30" s="3">
        <v>1500</v>
      </c>
      <c r="M30" s="97" t="s">
        <v>479</v>
      </c>
      <c r="N30" s="98" t="s">
        <v>353</v>
      </c>
      <c r="O30" s="95"/>
      <c r="P30" s="95"/>
      <c r="Q30" s="95"/>
      <c r="R30" s="95"/>
      <c r="S30" s="95">
        <v>-4.3230000000000004</v>
      </c>
      <c r="T30" s="95">
        <v>0.70569999999999999</v>
      </c>
      <c r="U30" s="98">
        <v>0.22850000000000001</v>
      </c>
      <c r="V30" s="99">
        <v>10.747982671403674</v>
      </c>
    </row>
    <row r="31" spans="1:22" x14ac:dyDescent="0.3">
      <c r="A31" s="56"/>
      <c r="B31" s="6" t="s">
        <v>332</v>
      </c>
      <c r="C31" t="s">
        <v>215</v>
      </c>
      <c r="D31" t="s">
        <v>310</v>
      </c>
      <c r="E31" t="s">
        <v>168</v>
      </c>
      <c r="F31" t="s">
        <v>260</v>
      </c>
      <c r="G31" t="s">
        <v>302</v>
      </c>
      <c r="H31" t="s">
        <v>262</v>
      </c>
      <c r="I31" s="81" t="s">
        <v>305</v>
      </c>
      <c r="J31" s="3">
        <v>1501</v>
      </c>
      <c r="K31" s="3">
        <v>3500</v>
      </c>
      <c r="M31" s="97" t="s">
        <v>480</v>
      </c>
      <c r="N31" s="98" t="s">
        <v>353</v>
      </c>
      <c r="O31" s="95"/>
      <c r="P31" s="95"/>
      <c r="Q31" s="95"/>
      <c r="R31" s="95"/>
      <c r="S31" s="95">
        <v>-3.6779999999999999</v>
      </c>
      <c r="T31" s="95">
        <v>0.61339999999999995</v>
      </c>
      <c r="U31" s="98">
        <v>0.2452</v>
      </c>
      <c r="V31" s="99">
        <v>8.8862410441297559</v>
      </c>
    </row>
    <row r="32" spans="1:22" x14ac:dyDescent="0.3">
      <c r="A32" s="56"/>
      <c r="B32" s="6" t="s">
        <v>333</v>
      </c>
      <c r="C32" t="s">
        <v>217</v>
      </c>
      <c r="D32" t="s">
        <v>310</v>
      </c>
      <c r="E32" t="s">
        <v>168</v>
      </c>
      <c r="F32" t="s">
        <v>260</v>
      </c>
      <c r="G32" t="s">
        <v>302</v>
      </c>
      <c r="H32" t="s">
        <v>262</v>
      </c>
      <c r="I32" s="81" t="s">
        <v>305</v>
      </c>
      <c r="J32" s="3">
        <v>3501</v>
      </c>
      <c r="K32" s="3">
        <v>7000</v>
      </c>
      <c r="M32" s="97" t="s">
        <v>481</v>
      </c>
      <c r="N32" s="98" t="s">
        <v>353</v>
      </c>
      <c r="O32" s="95"/>
      <c r="P32" s="95"/>
      <c r="Q32" s="95"/>
      <c r="R32" s="95"/>
      <c r="S32" s="95">
        <v>-5.8890000000000002</v>
      </c>
      <c r="T32" s="95">
        <v>0.88500000000000001</v>
      </c>
      <c r="U32" s="98">
        <v>0.25580000000000003</v>
      </c>
      <c r="V32" s="99">
        <v>5.3335358848385956</v>
      </c>
    </row>
    <row r="33" spans="1:22" x14ac:dyDescent="0.3">
      <c r="A33" s="56"/>
      <c r="B33" s="6" t="s">
        <v>334</v>
      </c>
      <c r="C33" t="s">
        <v>359</v>
      </c>
      <c r="D33" t="s">
        <v>310</v>
      </c>
      <c r="E33" t="s">
        <v>168</v>
      </c>
      <c r="F33" t="s">
        <v>260</v>
      </c>
      <c r="G33" t="s">
        <v>302</v>
      </c>
      <c r="H33" t="s">
        <v>262</v>
      </c>
      <c r="I33" s="81" t="s">
        <v>305</v>
      </c>
      <c r="J33" s="3">
        <v>7001</v>
      </c>
      <c r="K33" s="3">
        <v>1000000</v>
      </c>
      <c r="M33" s="97" t="s">
        <v>482</v>
      </c>
      <c r="N33" s="98" t="s">
        <v>353</v>
      </c>
      <c r="O33" s="95"/>
      <c r="P33" s="95"/>
      <c r="Q33" s="95"/>
      <c r="R33" s="95"/>
      <c r="S33" s="95">
        <v>-2.9089999999999998</v>
      </c>
      <c r="T33" s="95">
        <v>0.58350000000000002</v>
      </c>
      <c r="U33" s="98">
        <v>0.26500000000000001</v>
      </c>
      <c r="V33" s="99">
        <v>4.1635179422305626</v>
      </c>
    </row>
    <row r="34" spans="1:22" x14ac:dyDescent="0.3">
      <c r="A34" s="83"/>
      <c r="B34" t="s">
        <v>336</v>
      </c>
      <c r="C34" t="s">
        <v>220</v>
      </c>
      <c r="D34" t="s">
        <v>310</v>
      </c>
      <c r="E34" t="s">
        <v>168</v>
      </c>
      <c r="F34" t="s">
        <v>260</v>
      </c>
      <c r="G34" t="s">
        <v>261</v>
      </c>
      <c r="H34" t="s">
        <v>262</v>
      </c>
      <c r="I34" s="81" t="s">
        <v>303</v>
      </c>
      <c r="J34" s="3">
        <v>0</v>
      </c>
      <c r="K34" s="3">
        <v>1000000</v>
      </c>
      <c r="M34" s="97" t="s">
        <v>483</v>
      </c>
      <c r="N34" s="98" t="s">
        <v>353</v>
      </c>
      <c r="O34" s="95"/>
      <c r="P34" s="95"/>
      <c r="Q34" s="95"/>
      <c r="R34" s="95"/>
      <c r="S34" s="95">
        <v>-3.2879999999999998</v>
      </c>
      <c r="T34" s="95">
        <v>0.63029999999999997</v>
      </c>
      <c r="U34" s="98">
        <v>0.27800000000000002</v>
      </c>
      <c r="V34" s="99">
        <v>3.440406380198509</v>
      </c>
    </row>
    <row r="35" spans="1:22" x14ac:dyDescent="0.3">
      <c r="A35" s="83"/>
      <c r="B35" s="6" t="s">
        <v>335</v>
      </c>
      <c r="C35" t="s">
        <v>220</v>
      </c>
      <c r="D35" t="s">
        <v>310</v>
      </c>
      <c r="E35" t="s">
        <v>168</v>
      </c>
      <c r="F35" t="s">
        <v>260</v>
      </c>
      <c r="G35" t="s">
        <v>302</v>
      </c>
      <c r="H35" t="s">
        <v>262</v>
      </c>
      <c r="I35" s="81" t="s">
        <v>303</v>
      </c>
      <c r="J35" s="3">
        <v>0</v>
      </c>
      <c r="K35" s="3">
        <v>1000000</v>
      </c>
      <c r="M35" s="97" t="s">
        <v>483</v>
      </c>
      <c r="N35" s="98" t="s">
        <v>353</v>
      </c>
      <c r="O35" s="95"/>
      <c r="P35" s="95"/>
      <c r="Q35" s="95"/>
      <c r="R35" s="95"/>
      <c r="S35" s="95">
        <v>-3.2879999999999998</v>
      </c>
      <c r="T35" s="95">
        <v>0.63029999999999997</v>
      </c>
      <c r="U35" s="98">
        <v>0.27800000000000002</v>
      </c>
      <c r="V35" s="99">
        <v>3.440406380198509</v>
      </c>
    </row>
    <row r="36" spans="1:22" x14ac:dyDescent="0.3">
      <c r="A36" s="84"/>
      <c r="B36" t="s">
        <v>265</v>
      </c>
      <c r="C36" s="1" t="s">
        <v>221</v>
      </c>
      <c r="D36" s="1" t="s">
        <v>310</v>
      </c>
      <c r="E36" s="1" t="s">
        <v>168</v>
      </c>
      <c r="F36" s="1"/>
      <c r="G36" s="1"/>
      <c r="H36" s="1"/>
      <c r="I36" s="81"/>
      <c r="M36" s="97" t="s">
        <v>484</v>
      </c>
      <c r="N36" s="98" t="s">
        <v>353</v>
      </c>
      <c r="O36" s="95"/>
      <c r="P36" s="95"/>
      <c r="Q36" s="95"/>
      <c r="R36" s="95"/>
      <c r="S36" s="95">
        <v>0.44579999999999997</v>
      </c>
      <c r="T36" s="95">
        <v>-2.6429999999999999E-2</v>
      </c>
      <c r="U36" s="103">
        <v>0.1966</v>
      </c>
      <c r="V36" s="99">
        <v>65.395321027918726</v>
      </c>
    </row>
    <row r="37" spans="1:22" x14ac:dyDescent="0.3">
      <c r="A37" s="82"/>
      <c r="B37" t="s">
        <v>298</v>
      </c>
      <c r="C37" s="1" t="s">
        <v>222</v>
      </c>
      <c r="D37" s="1" t="s">
        <v>257</v>
      </c>
      <c r="E37" s="1" t="s">
        <v>167</v>
      </c>
      <c r="F37" s="1" t="s">
        <v>165</v>
      </c>
      <c r="G37" s="1" t="s">
        <v>302</v>
      </c>
      <c r="H37" s="1" t="s">
        <v>262</v>
      </c>
      <c r="I37" s="81" t="s">
        <v>305</v>
      </c>
      <c r="J37" s="3">
        <v>501</v>
      </c>
      <c r="K37" s="3">
        <v>1000000</v>
      </c>
      <c r="M37" s="97" t="s">
        <v>350</v>
      </c>
      <c r="N37" s="98" t="s">
        <v>352</v>
      </c>
      <c r="O37" s="95">
        <v>4.633</v>
      </c>
      <c r="P37" s="95">
        <v>7.9730000000000003E-4</v>
      </c>
      <c r="Q37" s="95">
        <v>16370</v>
      </c>
      <c r="R37" s="95">
        <v>1.6479999999999999</v>
      </c>
      <c r="S37" s="95"/>
      <c r="T37" s="95"/>
      <c r="U37" s="98">
        <v>0.24740000000000001</v>
      </c>
      <c r="V37" s="99">
        <v>7.1757731369515128</v>
      </c>
    </row>
    <row r="38" spans="1:22" x14ac:dyDescent="0.3">
      <c r="A38" s="82"/>
      <c r="B38" s="6" t="s">
        <v>300</v>
      </c>
      <c r="C38" s="1" t="s">
        <v>222</v>
      </c>
      <c r="D38" s="1" t="s">
        <v>257</v>
      </c>
      <c r="E38" s="1" t="s">
        <v>168</v>
      </c>
      <c r="F38" s="1" t="s">
        <v>165</v>
      </c>
      <c r="G38" s="1" t="s">
        <v>302</v>
      </c>
      <c r="H38" s="1" t="s">
        <v>262</v>
      </c>
      <c r="I38" s="81" t="s">
        <v>305</v>
      </c>
      <c r="J38" s="3">
        <v>501</v>
      </c>
      <c r="K38" s="3">
        <v>1000000</v>
      </c>
      <c r="M38" s="97" t="s">
        <v>350</v>
      </c>
      <c r="N38" s="98" t="s">
        <v>352</v>
      </c>
      <c r="O38" s="95">
        <v>4.633</v>
      </c>
      <c r="P38" s="95">
        <v>7.9730000000000003E-4</v>
      </c>
      <c r="Q38" s="95">
        <v>16370</v>
      </c>
      <c r="R38" s="95">
        <v>1.6479999999999999</v>
      </c>
      <c r="S38" s="95"/>
      <c r="T38" s="95"/>
      <c r="U38" s="98">
        <v>0.24740000000000001</v>
      </c>
      <c r="V38" s="99">
        <v>7.1757731369515128</v>
      </c>
    </row>
    <row r="39" spans="1:22" x14ac:dyDescent="0.3">
      <c r="A39" s="55"/>
      <c r="B39" t="s">
        <v>360</v>
      </c>
      <c r="C39" s="1" t="s">
        <v>223</v>
      </c>
      <c r="D39" s="1" t="s">
        <v>257</v>
      </c>
      <c r="E39" s="1" t="s">
        <v>167</v>
      </c>
      <c r="F39" s="1" t="s">
        <v>165</v>
      </c>
      <c r="G39" s="1" t="s">
        <v>261</v>
      </c>
      <c r="H39" s="1" t="s">
        <v>262</v>
      </c>
      <c r="I39" s="81" t="s">
        <v>307</v>
      </c>
      <c r="J39" s="3">
        <v>0</v>
      </c>
      <c r="K39" s="3">
        <v>1000000</v>
      </c>
      <c r="M39" s="97" t="s">
        <v>485</v>
      </c>
      <c r="N39" s="98" t="s">
        <v>353</v>
      </c>
      <c r="O39" s="95"/>
      <c r="P39" s="95"/>
      <c r="Q39" s="95"/>
      <c r="R39" s="95"/>
      <c r="S39" s="95">
        <v>-2.9510000000000001</v>
      </c>
      <c r="T39" s="95">
        <v>0.4622</v>
      </c>
      <c r="U39" s="98">
        <v>0.26</v>
      </c>
      <c r="V39" s="99">
        <v>2.9734808432992654</v>
      </c>
    </row>
    <row r="40" spans="1:22" x14ac:dyDescent="0.3">
      <c r="A40" s="55"/>
      <c r="B40" s="6" t="s">
        <v>361</v>
      </c>
      <c r="C40" s="1" t="s">
        <v>223</v>
      </c>
      <c r="D40" s="1" t="s">
        <v>257</v>
      </c>
      <c r="E40" s="1" t="s">
        <v>168</v>
      </c>
      <c r="F40" s="1" t="s">
        <v>165</v>
      </c>
      <c r="G40" s="1" t="s">
        <v>261</v>
      </c>
      <c r="H40" s="1" t="s">
        <v>262</v>
      </c>
      <c r="I40" s="81" t="s">
        <v>307</v>
      </c>
      <c r="J40" s="3">
        <v>0</v>
      </c>
      <c r="K40" s="3">
        <v>1000000</v>
      </c>
      <c r="M40" s="97" t="s">
        <v>485</v>
      </c>
      <c r="N40" s="98" t="s">
        <v>353</v>
      </c>
      <c r="O40" s="95"/>
      <c r="P40" s="95"/>
      <c r="Q40" s="95"/>
      <c r="R40" s="95"/>
      <c r="S40" s="95">
        <v>-2.9510000000000001</v>
      </c>
      <c r="T40" s="95">
        <v>0.4622</v>
      </c>
      <c r="U40" s="98">
        <v>0.26</v>
      </c>
      <c r="V40" s="99">
        <v>2.9734808432992654</v>
      </c>
    </row>
    <row r="41" spans="1:22" x14ac:dyDescent="0.3">
      <c r="A41" s="56"/>
      <c r="B41" t="s">
        <v>299</v>
      </c>
      <c r="C41" s="1" t="s">
        <v>224</v>
      </c>
      <c r="D41" s="1" t="s">
        <v>257</v>
      </c>
      <c r="E41" s="1" t="s">
        <v>167</v>
      </c>
      <c r="F41" s="1" t="s">
        <v>260</v>
      </c>
      <c r="G41" s="1" t="s">
        <v>302</v>
      </c>
      <c r="H41" s="1" t="s">
        <v>262</v>
      </c>
      <c r="I41" s="81" t="s">
        <v>304</v>
      </c>
      <c r="J41" s="3">
        <v>0</v>
      </c>
      <c r="K41" s="3">
        <v>1000000</v>
      </c>
      <c r="M41" s="97" t="s">
        <v>486</v>
      </c>
      <c r="N41" s="98" t="s">
        <v>353</v>
      </c>
      <c r="O41" s="95"/>
      <c r="P41" s="95"/>
      <c r="Q41" s="95"/>
      <c r="R41" s="95"/>
      <c r="S41" s="95">
        <v>-2.323</v>
      </c>
      <c r="T41" s="95">
        <v>0.33239999999999997</v>
      </c>
      <c r="U41" s="98">
        <v>0.25130000000000002</v>
      </c>
      <c r="V41" s="99">
        <v>3.1837951990942153</v>
      </c>
    </row>
    <row r="42" spans="1:22" x14ac:dyDescent="0.3">
      <c r="A42" s="56"/>
      <c r="B42" s="6" t="s">
        <v>301</v>
      </c>
      <c r="C42" s="1" t="s">
        <v>224</v>
      </c>
      <c r="D42" s="1" t="s">
        <v>257</v>
      </c>
      <c r="E42" s="1" t="s">
        <v>168</v>
      </c>
      <c r="F42" s="1" t="s">
        <v>260</v>
      </c>
      <c r="G42" s="1" t="s">
        <v>302</v>
      </c>
      <c r="H42" s="1" t="s">
        <v>262</v>
      </c>
      <c r="I42" s="81" t="s">
        <v>304</v>
      </c>
      <c r="J42" s="3">
        <v>0</v>
      </c>
      <c r="K42" s="3">
        <v>1000000</v>
      </c>
      <c r="M42" s="97" t="s">
        <v>486</v>
      </c>
      <c r="N42" s="98" t="s">
        <v>353</v>
      </c>
      <c r="O42" s="95"/>
      <c r="P42" s="95"/>
      <c r="Q42" s="95"/>
      <c r="R42" s="95"/>
      <c r="S42" s="95">
        <v>-2.323</v>
      </c>
      <c r="T42" s="95">
        <v>0.33239999999999997</v>
      </c>
      <c r="U42" s="98">
        <v>0.25130000000000002</v>
      </c>
      <c r="V42" s="99">
        <v>3.1837951990942153</v>
      </c>
    </row>
    <row r="43" spans="1:22" x14ac:dyDescent="0.3">
      <c r="A43" s="84"/>
      <c r="B43" t="s">
        <v>266</v>
      </c>
      <c r="C43" s="1" t="s">
        <v>225</v>
      </c>
      <c r="D43" s="1" t="s">
        <v>257</v>
      </c>
      <c r="E43" s="1" t="s">
        <v>167</v>
      </c>
      <c r="F43" s="1" t="s">
        <v>165</v>
      </c>
      <c r="G43" s="1"/>
      <c r="H43" s="1"/>
      <c r="I43" s="81"/>
      <c r="M43" s="97" t="s">
        <v>487</v>
      </c>
      <c r="N43" s="98" t="s">
        <v>353</v>
      </c>
      <c r="O43" s="95"/>
      <c r="P43" s="95"/>
      <c r="Q43" s="95"/>
      <c r="R43" s="95"/>
      <c r="S43" s="95">
        <v>0.43869999999999998</v>
      </c>
      <c r="T43" s="95">
        <v>0.68230000000000002</v>
      </c>
      <c r="U43" s="98">
        <v>0.2487</v>
      </c>
      <c r="V43" s="99">
        <v>6.1045589615081512</v>
      </c>
    </row>
    <row r="44" spans="1:22" x14ac:dyDescent="0.3">
      <c r="B44" t="s">
        <v>267</v>
      </c>
      <c r="C44" s="1" t="s">
        <v>228</v>
      </c>
      <c r="D44" s="1" t="s">
        <v>257</v>
      </c>
      <c r="E44" s="1" t="s">
        <v>167</v>
      </c>
      <c r="F44" s="1" t="s">
        <v>165</v>
      </c>
      <c r="G44" s="1" t="s">
        <v>302</v>
      </c>
      <c r="H44" s="1" t="s">
        <v>262</v>
      </c>
      <c r="I44" s="81" t="s">
        <v>306</v>
      </c>
      <c r="J44" s="3">
        <v>501</v>
      </c>
      <c r="K44" s="3">
        <v>15000</v>
      </c>
      <c r="M44" s="97" t="s">
        <v>488</v>
      </c>
      <c r="N44" s="98" t="s">
        <v>353</v>
      </c>
      <c r="O44" s="95"/>
      <c r="P44" s="95"/>
      <c r="Q44" s="95"/>
      <c r="R44" s="95"/>
      <c r="S44" s="95">
        <v>6.32</v>
      </c>
      <c r="T44" s="95">
        <v>-0.70699999999999996</v>
      </c>
      <c r="U44" s="98">
        <v>0.2429</v>
      </c>
      <c r="V44" s="99">
        <v>3.6528181480548563</v>
      </c>
    </row>
    <row r="45" spans="1:22" x14ac:dyDescent="0.3">
      <c r="B45" t="s">
        <v>268</v>
      </c>
      <c r="C45" s="1" t="s">
        <v>226</v>
      </c>
      <c r="D45" s="1" t="s">
        <v>257</v>
      </c>
      <c r="E45" s="1" t="s">
        <v>167</v>
      </c>
      <c r="F45" s="1" t="s">
        <v>165</v>
      </c>
      <c r="G45" s="1" t="s">
        <v>302</v>
      </c>
      <c r="H45" s="1" t="s">
        <v>262</v>
      </c>
      <c r="I45" s="81" t="s">
        <v>306</v>
      </c>
      <c r="J45" s="3">
        <v>15001</v>
      </c>
      <c r="K45" s="3">
        <v>30000</v>
      </c>
      <c r="M45" s="97" t="s">
        <v>489</v>
      </c>
      <c r="N45" s="98" t="s">
        <v>353</v>
      </c>
      <c r="O45" s="95"/>
      <c r="P45" s="95"/>
      <c r="Q45" s="95"/>
      <c r="R45" s="95"/>
      <c r="S45" s="95">
        <v>-8.7710000000000008</v>
      </c>
      <c r="T45" s="95">
        <v>0.89319999999999999</v>
      </c>
      <c r="U45" s="98">
        <v>0.23400000000000001</v>
      </c>
      <c r="V45" s="99">
        <v>1.5974501881242844</v>
      </c>
    </row>
    <row r="46" spans="1:22" x14ac:dyDescent="0.3">
      <c r="B46" t="s">
        <v>269</v>
      </c>
      <c r="C46" s="1" t="s">
        <v>227</v>
      </c>
      <c r="D46" s="1" t="s">
        <v>257</v>
      </c>
      <c r="E46" s="1" t="s">
        <v>167</v>
      </c>
      <c r="F46" s="1" t="s">
        <v>165</v>
      </c>
      <c r="G46" s="1" t="s">
        <v>302</v>
      </c>
      <c r="H46" s="1" t="s">
        <v>262</v>
      </c>
      <c r="I46" s="81" t="s">
        <v>306</v>
      </c>
      <c r="J46" s="3">
        <v>30001</v>
      </c>
      <c r="K46" s="3">
        <v>1000000</v>
      </c>
      <c r="M46" s="97" t="s">
        <v>490</v>
      </c>
      <c r="N46" s="98" t="s">
        <v>353</v>
      </c>
      <c r="O46" s="95"/>
      <c r="P46" s="95"/>
      <c r="Q46" s="95"/>
      <c r="R46" s="95"/>
      <c r="S46" s="95">
        <v>-9.843</v>
      </c>
      <c r="T46" s="95">
        <v>1.0229999999999999</v>
      </c>
      <c r="U46" s="98">
        <v>0.20169999999999999</v>
      </c>
      <c r="V46" s="99">
        <v>0.7740420397440273</v>
      </c>
    </row>
    <row r="47" spans="1:22" x14ac:dyDescent="0.3">
      <c r="B47" t="s">
        <v>270</v>
      </c>
      <c r="C47" s="1" t="s">
        <v>229</v>
      </c>
      <c r="D47" s="1" t="s">
        <v>257</v>
      </c>
      <c r="E47" s="1" t="s">
        <v>167</v>
      </c>
      <c r="F47" s="1" t="s">
        <v>165</v>
      </c>
      <c r="G47" s="1" t="s">
        <v>302</v>
      </c>
      <c r="H47" s="1" t="s">
        <v>262</v>
      </c>
      <c r="I47" s="81" t="s">
        <v>304</v>
      </c>
      <c r="J47" s="3">
        <v>0</v>
      </c>
      <c r="K47" s="3">
        <v>1000000</v>
      </c>
      <c r="M47" s="97" t="s">
        <v>491</v>
      </c>
      <c r="N47" s="98" t="s">
        <v>353</v>
      </c>
      <c r="O47" s="95"/>
      <c r="P47" s="95"/>
      <c r="Q47" s="95"/>
      <c r="R47" s="95"/>
      <c r="S47" s="95">
        <v>-9.6460000000000008</v>
      </c>
      <c r="T47" s="95">
        <v>1.0049999999999999</v>
      </c>
      <c r="U47" s="98">
        <v>0.2198</v>
      </c>
      <c r="V47" s="99">
        <v>0.91669936927542761</v>
      </c>
    </row>
    <row r="48" spans="1:22" x14ac:dyDescent="0.3">
      <c r="A48" s="84"/>
      <c r="B48" t="s">
        <v>271</v>
      </c>
      <c r="C48" s="1" t="s">
        <v>230</v>
      </c>
      <c r="D48" s="1" t="s">
        <v>257</v>
      </c>
      <c r="E48" s="1" t="s">
        <v>167</v>
      </c>
      <c r="F48" s="1" t="s">
        <v>260</v>
      </c>
      <c r="G48" s="1"/>
      <c r="H48" s="1"/>
      <c r="I48" s="81"/>
      <c r="M48" s="97" t="s">
        <v>492</v>
      </c>
      <c r="N48" s="98" t="s">
        <v>353</v>
      </c>
      <c r="O48" s="95"/>
      <c r="P48" s="95"/>
      <c r="Q48" s="95"/>
      <c r="R48" s="95"/>
      <c r="S48" s="95">
        <v>-0.443</v>
      </c>
      <c r="T48" s="95">
        <v>-5.96E-2</v>
      </c>
      <c r="U48" s="98">
        <v>0.23599999999999999</v>
      </c>
      <c r="V48" s="99">
        <v>63.567136109567542</v>
      </c>
    </row>
    <row r="49" spans="1:22" x14ac:dyDescent="0.3">
      <c r="B49" t="s">
        <v>272</v>
      </c>
      <c r="C49" s="1" t="s">
        <v>231</v>
      </c>
      <c r="D49" s="1" t="s">
        <v>257</v>
      </c>
      <c r="E49" s="1" t="s">
        <v>167</v>
      </c>
      <c r="F49" s="1" t="s">
        <v>260</v>
      </c>
      <c r="G49" s="1" t="s">
        <v>302</v>
      </c>
      <c r="H49" s="1" t="s">
        <v>262</v>
      </c>
      <c r="I49" s="81" t="s">
        <v>305</v>
      </c>
      <c r="J49" s="3">
        <v>0</v>
      </c>
      <c r="K49" s="3">
        <v>1000000</v>
      </c>
      <c r="M49" s="97" t="s">
        <v>493</v>
      </c>
      <c r="N49" s="98" t="s">
        <v>353</v>
      </c>
      <c r="O49" s="95"/>
      <c r="P49" s="95"/>
      <c r="Q49" s="95"/>
      <c r="R49" s="95"/>
      <c r="S49" s="95">
        <v>-3.5649999999999999</v>
      </c>
      <c r="T49" s="95">
        <v>0.36099999999999999</v>
      </c>
      <c r="U49" s="98">
        <v>0.20569999999999999</v>
      </c>
      <c r="V49" s="99">
        <v>19.104283742769518</v>
      </c>
    </row>
    <row r="50" spans="1:22" x14ac:dyDescent="0.3">
      <c r="B50" t="s">
        <v>273</v>
      </c>
      <c r="C50" s="1" t="s">
        <v>232</v>
      </c>
      <c r="D50" s="1" t="s">
        <v>257</v>
      </c>
      <c r="E50" s="1" t="s">
        <v>167</v>
      </c>
      <c r="F50" s="1" t="s">
        <v>260</v>
      </c>
      <c r="G50" s="1" t="s">
        <v>302</v>
      </c>
      <c r="H50" s="1" t="s">
        <v>262</v>
      </c>
      <c r="I50" s="81" t="s">
        <v>306</v>
      </c>
      <c r="J50" s="3">
        <v>0</v>
      </c>
      <c r="K50" s="3">
        <v>10000</v>
      </c>
      <c r="M50" s="97" t="s">
        <v>494</v>
      </c>
      <c r="N50" s="98" t="s">
        <v>353</v>
      </c>
      <c r="O50" s="95"/>
      <c r="P50" s="95"/>
      <c r="Q50" s="95"/>
      <c r="R50" s="95"/>
      <c r="S50" s="95">
        <v>-2.673</v>
      </c>
      <c r="T50" s="95">
        <v>0.22020000000000001</v>
      </c>
      <c r="U50" s="98">
        <v>0.29110000000000003</v>
      </c>
      <c r="V50" s="99">
        <v>14.115393064597811</v>
      </c>
    </row>
    <row r="51" spans="1:22" x14ac:dyDescent="0.3">
      <c r="B51" t="s">
        <v>275</v>
      </c>
      <c r="C51" s="1" t="s">
        <v>233</v>
      </c>
      <c r="D51" s="1" t="s">
        <v>257</v>
      </c>
      <c r="E51" s="1" t="s">
        <v>167</v>
      </c>
      <c r="F51" s="1" t="s">
        <v>260</v>
      </c>
      <c r="G51" s="1" t="s">
        <v>302</v>
      </c>
      <c r="H51" s="1" t="s">
        <v>262</v>
      </c>
      <c r="I51" s="81" t="s">
        <v>306</v>
      </c>
      <c r="J51" s="3">
        <v>10001</v>
      </c>
      <c r="K51" s="3">
        <v>17500</v>
      </c>
      <c r="M51" s="97" t="s">
        <v>495</v>
      </c>
      <c r="N51" s="98" t="s">
        <v>353</v>
      </c>
      <c r="O51" s="95"/>
      <c r="P51" s="95"/>
      <c r="Q51" s="95"/>
      <c r="R51" s="95"/>
      <c r="S51" s="95">
        <v>-6.9550000000000001</v>
      </c>
      <c r="T51" s="95">
        <v>0.69099999999999995</v>
      </c>
      <c r="U51" s="98">
        <v>0.26100000000000001</v>
      </c>
      <c r="V51" s="99">
        <v>4.4393269430100704</v>
      </c>
    </row>
    <row r="52" spans="1:22" x14ac:dyDescent="0.3">
      <c r="B52" t="s">
        <v>276</v>
      </c>
      <c r="C52" s="1" t="s">
        <v>234</v>
      </c>
      <c r="D52" s="1" t="s">
        <v>257</v>
      </c>
      <c r="E52" s="1" t="s">
        <v>167</v>
      </c>
      <c r="F52" s="1" t="s">
        <v>260</v>
      </c>
      <c r="G52" s="1" t="s">
        <v>302</v>
      </c>
      <c r="H52" s="1" t="s">
        <v>262</v>
      </c>
      <c r="I52" s="81" t="s">
        <v>306</v>
      </c>
      <c r="J52" s="3">
        <v>17501</v>
      </c>
      <c r="K52" s="3">
        <v>1000000</v>
      </c>
      <c r="M52" s="97" t="s">
        <v>496</v>
      </c>
      <c r="N52" s="98" t="s">
        <v>353</v>
      </c>
      <c r="O52" s="95"/>
      <c r="P52" s="95"/>
      <c r="Q52" s="95"/>
      <c r="R52" s="95"/>
      <c r="S52" s="95">
        <v>-2.9820000000000002</v>
      </c>
      <c r="T52" s="95">
        <v>0.28549999999999998</v>
      </c>
      <c r="U52" s="98">
        <v>0.25209999999999999</v>
      </c>
      <c r="V52" s="99">
        <v>3.1551832341755817</v>
      </c>
    </row>
    <row r="53" spans="1:22" x14ac:dyDescent="0.3">
      <c r="B53" t="s">
        <v>278</v>
      </c>
      <c r="C53" s="1" t="s">
        <v>235</v>
      </c>
      <c r="D53" s="1" t="s">
        <v>257</v>
      </c>
      <c r="E53" s="1" t="s">
        <v>167</v>
      </c>
      <c r="F53" s="1" t="s">
        <v>260</v>
      </c>
      <c r="G53" s="1"/>
      <c r="H53" s="1" t="s">
        <v>38</v>
      </c>
      <c r="I53" s="81" t="s">
        <v>307</v>
      </c>
      <c r="J53" s="3">
        <v>0</v>
      </c>
      <c r="K53" s="3">
        <v>1000000</v>
      </c>
      <c r="M53" s="97" t="s">
        <v>497</v>
      </c>
      <c r="N53" s="98" t="s">
        <v>353</v>
      </c>
      <c r="O53" s="95"/>
      <c r="P53" s="95"/>
      <c r="Q53" s="95"/>
      <c r="R53" s="95"/>
      <c r="S53" s="95">
        <v>-6.2690000000000001</v>
      </c>
      <c r="T53" s="95">
        <v>0.62190000000000001</v>
      </c>
      <c r="U53" s="98">
        <v>0.27779999999999999</v>
      </c>
      <c r="V53" s="99">
        <v>16.074164573897992</v>
      </c>
    </row>
    <row r="54" spans="1:22" x14ac:dyDescent="0.3">
      <c r="B54" t="s">
        <v>274</v>
      </c>
      <c r="C54" s="1" t="s">
        <v>236</v>
      </c>
      <c r="D54" s="1" t="s">
        <v>257</v>
      </c>
      <c r="E54" s="1" t="s">
        <v>167</v>
      </c>
      <c r="F54" s="1" t="s">
        <v>260</v>
      </c>
      <c r="G54" s="1" t="s">
        <v>261</v>
      </c>
      <c r="H54" s="1" t="s">
        <v>262</v>
      </c>
      <c r="I54" s="81" t="s">
        <v>305</v>
      </c>
      <c r="J54" s="3">
        <v>0</v>
      </c>
      <c r="K54" s="3">
        <v>1500</v>
      </c>
      <c r="M54" s="97" t="s">
        <v>498</v>
      </c>
      <c r="N54" s="98" t="s">
        <v>353</v>
      </c>
      <c r="O54" s="95"/>
      <c r="P54" s="95"/>
      <c r="Q54" s="95"/>
      <c r="R54" s="95"/>
      <c r="S54" s="95">
        <v>-4.99</v>
      </c>
      <c r="T54" s="95">
        <v>0.46560000000000001</v>
      </c>
      <c r="U54" s="98">
        <v>0.33329999999999999</v>
      </c>
      <c r="V54" s="99">
        <v>10.413395620156406</v>
      </c>
    </row>
    <row r="55" spans="1:22" x14ac:dyDescent="0.3">
      <c r="B55" t="s">
        <v>279</v>
      </c>
      <c r="C55" s="1" t="s">
        <v>237</v>
      </c>
      <c r="D55" s="1" t="s">
        <v>257</v>
      </c>
      <c r="E55" s="1" t="s">
        <v>167</v>
      </c>
      <c r="F55" s="1" t="s">
        <v>260</v>
      </c>
      <c r="G55" s="1" t="s">
        <v>261</v>
      </c>
      <c r="H55" s="1" t="s">
        <v>262</v>
      </c>
      <c r="I55" s="81" t="s">
        <v>305</v>
      </c>
      <c r="J55" s="3">
        <v>1501</v>
      </c>
      <c r="K55" s="3">
        <v>3501</v>
      </c>
      <c r="M55" s="97" t="s">
        <v>499</v>
      </c>
      <c r="N55" s="98" t="s">
        <v>353</v>
      </c>
      <c r="O55" s="95"/>
      <c r="P55" s="95"/>
      <c r="Q55" s="95"/>
      <c r="R55" s="95"/>
      <c r="S55" s="95">
        <v>-6.4139999999999997</v>
      </c>
      <c r="T55" s="95">
        <v>0.67049999999999998</v>
      </c>
      <c r="U55" s="98">
        <v>0.34949999999999998</v>
      </c>
      <c r="V55" s="99">
        <v>7.9194508980686802</v>
      </c>
    </row>
    <row r="56" spans="1:22" x14ac:dyDescent="0.3">
      <c r="B56" t="s">
        <v>280</v>
      </c>
      <c r="C56" s="1" t="s">
        <v>238</v>
      </c>
      <c r="D56" s="1" t="s">
        <v>257</v>
      </c>
      <c r="E56" s="1" t="s">
        <v>167</v>
      </c>
      <c r="F56" s="1" t="s">
        <v>260</v>
      </c>
      <c r="G56" s="1" t="s">
        <v>261</v>
      </c>
      <c r="H56" s="1" t="s">
        <v>262</v>
      </c>
      <c r="I56" s="81" t="s">
        <v>305</v>
      </c>
      <c r="J56" s="3">
        <v>3501</v>
      </c>
      <c r="K56" s="3">
        <v>7000</v>
      </c>
      <c r="M56" s="97" t="s">
        <v>500</v>
      </c>
      <c r="N56" s="98" t="s">
        <v>353</v>
      </c>
      <c r="O56" s="95"/>
      <c r="P56" s="95"/>
      <c r="Q56" s="95"/>
      <c r="R56" s="95"/>
      <c r="S56" s="95">
        <v>-5.5030000000000001</v>
      </c>
      <c r="T56" s="95">
        <v>0.85870000000000002</v>
      </c>
      <c r="U56" s="98">
        <v>0.3397</v>
      </c>
      <c r="V56" s="99">
        <v>6.894227655876394</v>
      </c>
    </row>
    <row r="57" spans="1:22" x14ac:dyDescent="0.3">
      <c r="B57" t="s">
        <v>277</v>
      </c>
      <c r="C57" s="1" t="s">
        <v>239</v>
      </c>
      <c r="D57" s="1" t="s">
        <v>257</v>
      </c>
      <c r="E57" s="1" t="s">
        <v>167</v>
      </c>
      <c r="F57" s="1" t="s">
        <v>260</v>
      </c>
      <c r="G57" s="1" t="s">
        <v>261</v>
      </c>
      <c r="H57" s="1" t="s">
        <v>262</v>
      </c>
      <c r="I57" s="81" t="s">
        <v>305</v>
      </c>
      <c r="J57" s="3">
        <v>7001</v>
      </c>
      <c r="K57" s="3">
        <v>1000000</v>
      </c>
      <c r="M57" s="97" t="s">
        <v>501</v>
      </c>
      <c r="N57" s="98" t="s">
        <v>353</v>
      </c>
      <c r="O57" s="95"/>
      <c r="P57" s="95"/>
      <c r="Q57" s="95"/>
      <c r="R57" s="95"/>
      <c r="S57" s="95">
        <v>-8.7430000000000003</v>
      </c>
      <c r="T57" s="95">
        <v>0.56679999999999997</v>
      </c>
      <c r="U57" s="98">
        <v>0.33079999999999998</v>
      </c>
      <c r="V57" s="99">
        <v>5.9353729704681673</v>
      </c>
    </row>
    <row r="58" spans="1:22" x14ac:dyDescent="0.3">
      <c r="B58" t="s">
        <v>281</v>
      </c>
      <c r="C58" s="1" t="s">
        <v>240</v>
      </c>
      <c r="D58" s="1" t="s">
        <v>257</v>
      </c>
      <c r="E58" s="1" t="s">
        <v>167</v>
      </c>
      <c r="F58" s="1" t="s">
        <v>260</v>
      </c>
      <c r="G58" s="1" t="s">
        <v>261</v>
      </c>
      <c r="H58" s="1" t="s">
        <v>262</v>
      </c>
      <c r="I58" s="81" t="s">
        <v>303</v>
      </c>
      <c r="J58" s="3">
        <v>0</v>
      </c>
      <c r="K58" s="3">
        <v>1000000</v>
      </c>
      <c r="M58" s="97" t="s">
        <v>502</v>
      </c>
      <c r="N58" s="98" t="s">
        <v>353</v>
      </c>
      <c r="O58" s="95"/>
      <c r="P58" s="95"/>
      <c r="Q58" s="95"/>
      <c r="R58" s="95"/>
      <c r="S58" s="95">
        <v>-8.7430000000000003</v>
      </c>
      <c r="T58" s="95">
        <v>0.98260000000000003</v>
      </c>
      <c r="U58" s="98">
        <v>0.32140000000000002</v>
      </c>
      <c r="V58" s="99">
        <v>9.8505531362677363</v>
      </c>
    </row>
    <row r="59" spans="1:22" x14ac:dyDescent="0.3">
      <c r="A59" s="84"/>
      <c r="B59" t="s">
        <v>282</v>
      </c>
      <c r="C59" s="1" t="s">
        <v>241</v>
      </c>
      <c r="D59" s="1" t="s">
        <v>257</v>
      </c>
      <c r="E59" s="1" t="s">
        <v>168</v>
      </c>
      <c r="F59" s="1" t="s">
        <v>165</v>
      </c>
      <c r="G59" s="1"/>
      <c r="H59" s="1"/>
      <c r="I59" s="81"/>
      <c r="M59" s="97" t="s">
        <v>351</v>
      </c>
      <c r="N59" s="98" t="s">
        <v>352</v>
      </c>
      <c r="O59" s="95">
        <v>41.91</v>
      </c>
      <c r="P59" s="95">
        <v>3.0170000000000001E-5</v>
      </c>
      <c r="Q59" s="95">
        <v>103400</v>
      </c>
      <c r="R59" s="95">
        <v>3.3719999999999999</v>
      </c>
      <c r="S59" s="95"/>
      <c r="T59" s="95"/>
      <c r="U59" s="98">
        <v>0.2291</v>
      </c>
      <c r="V59" s="99">
        <v>5.2782154510792614</v>
      </c>
    </row>
    <row r="60" spans="1:22" x14ac:dyDescent="0.3">
      <c r="B60" t="s">
        <v>284</v>
      </c>
      <c r="C60" s="1" t="s">
        <v>244</v>
      </c>
      <c r="D60" s="1" t="s">
        <v>257</v>
      </c>
      <c r="E60" s="1" t="s">
        <v>168</v>
      </c>
      <c r="F60" s="1" t="s">
        <v>165</v>
      </c>
      <c r="G60" s="1" t="s">
        <v>302</v>
      </c>
      <c r="H60" s="1" t="s">
        <v>262</v>
      </c>
      <c r="I60" s="81" t="s">
        <v>306</v>
      </c>
      <c r="J60" s="3">
        <v>501</v>
      </c>
      <c r="K60" s="3">
        <v>20000</v>
      </c>
      <c r="M60" s="97" t="s">
        <v>503</v>
      </c>
      <c r="N60" s="98" t="s">
        <v>353</v>
      </c>
      <c r="O60" s="95"/>
      <c r="P60" s="95"/>
      <c r="Q60" s="95"/>
      <c r="R60" s="95"/>
      <c r="S60" s="95">
        <v>1.4930000000000001</v>
      </c>
      <c r="T60" s="95">
        <v>-9.06E-2</v>
      </c>
      <c r="U60" s="98">
        <v>0.22919999999999999</v>
      </c>
      <c r="V60" s="99">
        <v>2.9798580387956486</v>
      </c>
    </row>
    <row r="61" spans="1:22" x14ac:dyDescent="0.3">
      <c r="B61" t="s">
        <v>285</v>
      </c>
      <c r="C61" s="1" t="s">
        <v>242</v>
      </c>
      <c r="D61" s="1" t="s">
        <v>257</v>
      </c>
      <c r="E61" s="1" t="s">
        <v>168</v>
      </c>
      <c r="F61" s="1" t="s">
        <v>165</v>
      </c>
      <c r="G61" s="1" t="s">
        <v>302</v>
      </c>
      <c r="H61" s="1" t="s">
        <v>262</v>
      </c>
      <c r="I61" s="81" t="s">
        <v>306</v>
      </c>
      <c r="J61" s="3">
        <v>20001</v>
      </c>
      <c r="K61" s="3">
        <v>35000</v>
      </c>
      <c r="M61" s="97" t="s">
        <v>504</v>
      </c>
      <c r="N61" s="98" t="s">
        <v>353</v>
      </c>
      <c r="O61" s="95"/>
      <c r="P61" s="95"/>
      <c r="Q61" s="95"/>
      <c r="R61" s="95"/>
      <c r="S61" s="95">
        <v>-8.4830000000000005</v>
      </c>
      <c r="T61" s="95">
        <v>0.90710000000000002</v>
      </c>
      <c r="U61" s="98">
        <v>0.22289999999999999</v>
      </c>
      <c r="V61" s="99">
        <v>2.8501686611982207</v>
      </c>
    </row>
    <row r="62" spans="1:22" x14ac:dyDescent="0.3">
      <c r="B62" t="s">
        <v>286</v>
      </c>
      <c r="C62" s="1" t="s">
        <v>243</v>
      </c>
      <c r="D62" s="1" t="s">
        <v>257</v>
      </c>
      <c r="E62" s="1" t="s">
        <v>168</v>
      </c>
      <c r="F62" s="1" t="s">
        <v>165</v>
      </c>
      <c r="G62" s="1" t="s">
        <v>302</v>
      </c>
      <c r="H62" s="1" t="s">
        <v>262</v>
      </c>
      <c r="I62" s="81" t="s">
        <v>306</v>
      </c>
      <c r="J62" s="3">
        <v>35001</v>
      </c>
      <c r="K62" s="3">
        <v>1000000</v>
      </c>
      <c r="M62" s="97" t="s">
        <v>505</v>
      </c>
      <c r="N62" s="98" t="s">
        <v>353</v>
      </c>
      <c r="O62" s="95"/>
      <c r="P62" s="95"/>
      <c r="Q62" s="95"/>
      <c r="R62" s="95"/>
      <c r="S62" s="95">
        <v>-11.83</v>
      </c>
      <c r="T62" s="95">
        <v>1.2210000000000001</v>
      </c>
      <c r="U62" s="98">
        <v>0.21299999999999999</v>
      </c>
      <c r="V62" s="99">
        <v>2.5258753439719901</v>
      </c>
    </row>
    <row r="63" spans="1:22" x14ac:dyDescent="0.3">
      <c r="B63" t="s">
        <v>283</v>
      </c>
      <c r="C63" s="1" t="s">
        <v>245</v>
      </c>
      <c r="D63" s="1" t="s">
        <v>257</v>
      </c>
      <c r="E63" s="1" t="s">
        <v>168</v>
      </c>
      <c r="F63" s="1" t="s">
        <v>165</v>
      </c>
      <c r="G63" s="1" t="s">
        <v>302</v>
      </c>
      <c r="H63" s="1" t="s">
        <v>262</v>
      </c>
      <c r="I63" s="81" t="s">
        <v>308</v>
      </c>
      <c r="J63" s="3">
        <v>0</v>
      </c>
      <c r="K63" s="3">
        <v>1000000</v>
      </c>
      <c r="M63" s="97" t="s">
        <v>506</v>
      </c>
      <c r="N63" s="98" t="s">
        <v>353</v>
      </c>
      <c r="O63" s="95"/>
      <c r="P63" s="95"/>
      <c r="Q63" s="95"/>
      <c r="R63" s="95"/>
      <c r="S63" s="95">
        <v>-17.73</v>
      </c>
      <c r="T63" s="95">
        <v>1.768</v>
      </c>
      <c r="U63" s="98">
        <v>0.22239999999999999</v>
      </c>
      <c r="V63" s="99">
        <v>1.6671883621162584</v>
      </c>
    </row>
    <row r="64" spans="1:22" x14ac:dyDescent="0.3">
      <c r="B64" t="s">
        <v>287</v>
      </c>
      <c r="C64" s="1" t="s">
        <v>246</v>
      </c>
      <c r="D64" s="1" t="s">
        <v>257</v>
      </c>
      <c r="E64" s="1" t="s">
        <v>168</v>
      </c>
      <c r="F64" s="1" t="s">
        <v>165</v>
      </c>
      <c r="G64" s="1" t="s">
        <v>302</v>
      </c>
      <c r="H64" s="1" t="s">
        <v>262</v>
      </c>
      <c r="I64" s="81" t="s">
        <v>309</v>
      </c>
      <c r="J64" s="3">
        <v>0</v>
      </c>
      <c r="K64" s="3">
        <v>1000000</v>
      </c>
      <c r="M64" s="97" t="s">
        <v>507</v>
      </c>
      <c r="N64" s="98" t="s">
        <v>353</v>
      </c>
      <c r="O64" s="95"/>
      <c r="P64" s="95"/>
      <c r="Q64" s="95"/>
      <c r="R64" s="95"/>
      <c r="S64" s="95">
        <v>-17.059999999999999</v>
      </c>
      <c r="T64" s="95">
        <v>1.702</v>
      </c>
      <c r="U64" s="98">
        <v>0.21840000000000001</v>
      </c>
      <c r="V64" s="99">
        <v>1.301459756274415</v>
      </c>
    </row>
    <row r="65" spans="1:22" x14ac:dyDescent="0.3">
      <c r="A65" s="84"/>
      <c r="B65" t="s">
        <v>288</v>
      </c>
      <c r="C65" s="1" t="s">
        <v>247</v>
      </c>
      <c r="D65" s="1" t="s">
        <v>257</v>
      </c>
      <c r="E65" s="1" t="s">
        <v>168</v>
      </c>
      <c r="F65" s="1" t="s">
        <v>260</v>
      </c>
      <c r="G65" s="1"/>
      <c r="H65" s="1"/>
      <c r="I65" s="81"/>
      <c r="M65" s="97" t="s">
        <v>508</v>
      </c>
      <c r="N65" s="98" t="s">
        <v>353</v>
      </c>
      <c r="O65" s="95"/>
      <c r="P65" s="95"/>
      <c r="Q65" s="95"/>
      <c r="R65" s="95"/>
      <c r="S65" s="95">
        <v>1.127</v>
      </c>
      <c r="T65" s="95">
        <v>-7.0669999999999997E-2</v>
      </c>
      <c r="U65" s="98">
        <v>0.22889999999999999</v>
      </c>
      <c r="V65" s="99">
        <v>35.002461967722539</v>
      </c>
    </row>
    <row r="66" spans="1:22" x14ac:dyDescent="0.3">
      <c r="B66" t="s">
        <v>289</v>
      </c>
      <c r="C66" s="1" t="s">
        <v>248</v>
      </c>
      <c r="D66" s="1" t="s">
        <v>257</v>
      </c>
      <c r="E66" s="1" t="s">
        <v>168</v>
      </c>
      <c r="F66" s="1" t="s">
        <v>260</v>
      </c>
      <c r="G66" s="1" t="s">
        <v>302</v>
      </c>
      <c r="H66" s="1" t="s">
        <v>262</v>
      </c>
      <c r="I66" s="81" t="s">
        <v>305</v>
      </c>
      <c r="J66" s="3">
        <v>0</v>
      </c>
      <c r="K66" s="3">
        <v>1000000</v>
      </c>
      <c r="M66" s="97" t="s">
        <v>509</v>
      </c>
      <c r="N66" s="98" t="s">
        <v>353</v>
      </c>
      <c r="O66" s="95"/>
      <c r="P66" s="95"/>
      <c r="Q66" s="95"/>
      <c r="R66" s="95"/>
      <c r="S66" s="95">
        <v>-3.8050000000000002</v>
      </c>
      <c r="T66" s="95">
        <v>0.40939999999999999</v>
      </c>
      <c r="U66" s="98">
        <v>0.20219999999999999</v>
      </c>
      <c r="V66" s="99">
        <v>14.124104237418157</v>
      </c>
    </row>
    <row r="67" spans="1:22" x14ac:dyDescent="0.3">
      <c r="B67" t="s">
        <v>291</v>
      </c>
      <c r="C67" s="1" t="s">
        <v>249</v>
      </c>
      <c r="D67" s="1" t="s">
        <v>257</v>
      </c>
      <c r="E67" s="1" t="s">
        <v>168</v>
      </c>
      <c r="F67" s="1" t="s">
        <v>260</v>
      </c>
      <c r="G67" s="1" t="s">
        <v>302</v>
      </c>
      <c r="H67" s="1" t="s">
        <v>262</v>
      </c>
      <c r="I67" s="81" t="s">
        <v>306</v>
      </c>
      <c r="J67" s="3">
        <v>0</v>
      </c>
      <c r="K67" s="3">
        <v>8000</v>
      </c>
      <c r="M67" s="97" t="s">
        <v>510</v>
      </c>
      <c r="N67" s="98" t="s">
        <v>353</v>
      </c>
      <c r="O67" s="95"/>
      <c r="P67" s="95"/>
      <c r="Q67" s="95"/>
      <c r="R67" s="95"/>
      <c r="S67" s="95">
        <v>-1.4239999999999999</v>
      </c>
      <c r="T67" s="95">
        <v>0.151</v>
      </c>
      <c r="U67" s="98">
        <v>0.24859999999999999</v>
      </c>
      <c r="V67" s="99">
        <v>17.166501179272817</v>
      </c>
    </row>
    <row r="68" spans="1:22" x14ac:dyDescent="0.3">
      <c r="B68" t="s">
        <v>293</v>
      </c>
      <c r="C68" s="1" t="s">
        <v>252</v>
      </c>
      <c r="D68" s="1" t="s">
        <v>257</v>
      </c>
      <c r="E68" s="1" t="s">
        <v>168</v>
      </c>
      <c r="F68" s="1" t="s">
        <v>260</v>
      </c>
      <c r="G68" s="1" t="s">
        <v>302</v>
      </c>
      <c r="H68" s="1" t="s">
        <v>262</v>
      </c>
      <c r="I68" s="81" t="s">
        <v>306</v>
      </c>
      <c r="J68" s="3">
        <v>8001</v>
      </c>
      <c r="K68" s="3">
        <v>17500</v>
      </c>
      <c r="M68" s="97" t="s">
        <v>511</v>
      </c>
      <c r="N68" s="98" t="s">
        <v>353</v>
      </c>
      <c r="O68" s="95"/>
      <c r="P68" s="95"/>
      <c r="Q68" s="95"/>
      <c r="R68" s="95"/>
      <c r="S68" s="95">
        <v>-7.7489999999999997</v>
      </c>
      <c r="T68" s="95">
        <v>0.82799999999999996</v>
      </c>
      <c r="U68" s="98">
        <v>0.22819999999999999</v>
      </c>
      <c r="V68" s="99">
        <v>11.321429335633981</v>
      </c>
    </row>
    <row r="69" spans="1:22" x14ac:dyDescent="0.3">
      <c r="B69" t="s">
        <v>294</v>
      </c>
      <c r="C69" s="1" t="s">
        <v>250</v>
      </c>
      <c r="D69" s="1" t="s">
        <v>257</v>
      </c>
      <c r="E69" s="1" t="s">
        <v>168</v>
      </c>
      <c r="F69" s="1" t="s">
        <v>260</v>
      </c>
      <c r="G69" s="1" t="s">
        <v>302</v>
      </c>
      <c r="H69" s="1" t="s">
        <v>262</v>
      </c>
      <c r="I69" s="81" t="s">
        <v>306</v>
      </c>
      <c r="J69" s="3">
        <v>17501</v>
      </c>
      <c r="K69" s="3">
        <v>24000</v>
      </c>
      <c r="M69" s="97" t="s">
        <v>512</v>
      </c>
      <c r="N69" s="98" t="s">
        <v>353</v>
      </c>
      <c r="O69" s="95"/>
      <c r="P69" s="95"/>
      <c r="Q69" s="95"/>
      <c r="R69" s="95"/>
      <c r="S69" s="95">
        <v>-5.8019999999999996</v>
      </c>
      <c r="T69" s="95">
        <v>0.62050000000000005</v>
      </c>
      <c r="U69" s="98">
        <v>0.23100000000000001</v>
      </c>
      <c r="V69" s="99">
        <v>10.022785380892939</v>
      </c>
    </row>
    <row r="70" spans="1:22" x14ac:dyDescent="0.3">
      <c r="B70" t="s">
        <v>295</v>
      </c>
      <c r="C70" s="1" t="s">
        <v>251</v>
      </c>
      <c r="D70" s="1" t="s">
        <v>257</v>
      </c>
      <c r="E70" s="1" t="s">
        <v>168</v>
      </c>
      <c r="F70" s="1" t="s">
        <v>260</v>
      </c>
      <c r="G70" s="1" t="s">
        <v>302</v>
      </c>
      <c r="H70" s="1" t="s">
        <v>262</v>
      </c>
      <c r="I70" s="81" t="s">
        <v>306</v>
      </c>
      <c r="J70" s="3">
        <v>24001</v>
      </c>
      <c r="K70" s="3">
        <v>1000000</v>
      </c>
      <c r="M70" s="97" t="s">
        <v>513</v>
      </c>
      <c r="N70" s="98" t="s">
        <v>353</v>
      </c>
      <c r="O70" s="95"/>
      <c r="P70" s="95"/>
      <c r="Q70" s="95"/>
      <c r="R70" s="95"/>
      <c r="S70" s="95">
        <v>-0.14080000000000001</v>
      </c>
      <c r="T70" s="95">
        <v>0.1113</v>
      </c>
      <c r="U70" s="98">
        <v>0.25369999999999998</v>
      </c>
      <c r="V70" s="99">
        <v>7.5716285325896342</v>
      </c>
    </row>
    <row r="71" spans="1:22" x14ac:dyDescent="0.3">
      <c r="B71" t="s">
        <v>296</v>
      </c>
      <c r="C71" s="1" t="s">
        <v>253</v>
      </c>
      <c r="D71" s="1" t="s">
        <v>257</v>
      </c>
      <c r="E71" s="1" t="s">
        <v>168</v>
      </c>
      <c r="F71" s="1" t="s">
        <v>260</v>
      </c>
      <c r="G71" s="1"/>
      <c r="H71" s="1" t="s">
        <v>38</v>
      </c>
      <c r="I71" s="81" t="s">
        <v>307</v>
      </c>
      <c r="J71" s="3">
        <v>0</v>
      </c>
      <c r="K71" s="3">
        <v>1000000</v>
      </c>
      <c r="M71" s="97" t="s">
        <v>514</v>
      </c>
      <c r="N71" s="98" t="s">
        <v>353</v>
      </c>
      <c r="O71" s="95"/>
      <c r="P71" s="95"/>
      <c r="Q71" s="95"/>
      <c r="R71" s="95"/>
      <c r="S71" s="95">
        <v>-11.13</v>
      </c>
      <c r="T71" s="95">
        <v>1.2050000000000001</v>
      </c>
      <c r="U71" s="98">
        <v>0.28489999999999999</v>
      </c>
      <c r="V71" s="99">
        <v>12.199112146154315</v>
      </c>
    </row>
    <row r="72" spans="1:22" x14ac:dyDescent="0.3">
      <c r="B72" t="s">
        <v>292</v>
      </c>
      <c r="C72" s="1" t="s">
        <v>254</v>
      </c>
      <c r="D72" s="1" t="s">
        <v>257</v>
      </c>
      <c r="E72" s="1" t="s">
        <v>168</v>
      </c>
      <c r="F72" s="1" t="s">
        <v>260</v>
      </c>
      <c r="G72" s="1" t="s">
        <v>261</v>
      </c>
      <c r="H72" s="1" t="s">
        <v>262</v>
      </c>
      <c r="I72" s="81" t="s">
        <v>305</v>
      </c>
      <c r="J72" s="3">
        <v>0</v>
      </c>
      <c r="K72" s="3">
        <v>4500</v>
      </c>
      <c r="M72" s="97" t="s">
        <v>515</v>
      </c>
      <c r="N72" s="98" t="s">
        <v>353</v>
      </c>
      <c r="O72" s="95"/>
      <c r="P72" s="95"/>
      <c r="Q72" s="95"/>
      <c r="R72" s="95"/>
      <c r="S72" s="95">
        <v>-4.7080000000000002</v>
      </c>
      <c r="T72" s="95">
        <v>0.50319999999999998</v>
      </c>
      <c r="U72" s="98">
        <v>0.26529999999999998</v>
      </c>
      <c r="V72" s="99">
        <v>16.68463370665658</v>
      </c>
    </row>
    <row r="73" spans="1:22" x14ac:dyDescent="0.3">
      <c r="B73" t="s">
        <v>297</v>
      </c>
      <c r="C73" s="1" t="s">
        <v>362</v>
      </c>
      <c r="D73" s="1" t="s">
        <v>257</v>
      </c>
      <c r="E73" s="1" t="s">
        <v>168</v>
      </c>
      <c r="F73" s="1" t="s">
        <v>260</v>
      </c>
      <c r="G73" s="1" t="s">
        <v>261</v>
      </c>
      <c r="H73" s="1" t="s">
        <v>262</v>
      </c>
      <c r="I73" s="81" t="s">
        <v>305</v>
      </c>
      <c r="J73" s="3">
        <v>4501</v>
      </c>
      <c r="K73" s="3">
        <v>7000</v>
      </c>
      <c r="M73" s="96" t="s">
        <v>516</v>
      </c>
      <c r="N73" s="98" t="s">
        <v>353</v>
      </c>
      <c r="O73" s="95"/>
      <c r="P73" s="95"/>
      <c r="Q73" s="95"/>
      <c r="R73" s="95"/>
      <c r="S73" s="95">
        <v>-1.25</v>
      </c>
      <c r="T73" s="95">
        <v>8.6190000000000003E-2</v>
      </c>
      <c r="U73" s="98">
        <v>0.28160000000000002</v>
      </c>
      <c r="V73" s="99">
        <v>12.71694100638287</v>
      </c>
    </row>
    <row r="74" spans="1:22" x14ac:dyDescent="0.3">
      <c r="B74" t="s">
        <v>363</v>
      </c>
      <c r="C74" s="1" t="s">
        <v>255</v>
      </c>
      <c r="D74" s="1" t="s">
        <v>257</v>
      </c>
      <c r="E74" s="1" t="s">
        <v>168</v>
      </c>
      <c r="F74" s="1" t="s">
        <v>260</v>
      </c>
      <c r="G74" s="1" t="s">
        <v>261</v>
      </c>
      <c r="H74" s="1" t="s">
        <v>262</v>
      </c>
      <c r="I74" s="81" t="s">
        <v>305</v>
      </c>
      <c r="J74" s="3">
        <v>7001</v>
      </c>
      <c r="K74" s="3">
        <v>1000000</v>
      </c>
      <c r="M74" s="97" t="s">
        <v>517</v>
      </c>
      <c r="N74" s="98" t="s">
        <v>353</v>
      </c>
      <c r="O74" s="95"/>
      <c r="P74" s="95"/>
      <c r="Q74" s="95"/>
      <c r="R74" s="95"/>
      <c r="S74" s="95">
        <v>-5.6879999999999997</v>
      </c>
      <c r="T74" s="95">
        <v>0.62219999999999998</v>
      </c>
      <c r="U74" s="98">
        <v>0.28460000000000002</v>
      </c>
      <c r="V74" s="99">
        <v>10.945642828367772</v>
      </c>
    </row>
    <row r="75" spans="1:22" x14ac:dyDescent="0.3">
      <c r="B75" t="s">
        <v>290</v>
      </c>
      <c r="C75" s="1" t="s">
        <v>256</v>
      </c>
      <c r="D75" s="1" t="s">
        <v>257</v>
      </c>
      <c r="E75" s="1" t="s">
        <v>168</v>
      </c>
      <c r="F75" s="1" t="s">
        <v>260</v>
      </c>
      <c r="G75" s="1" t="s">
        <v>261</v>
      </c>
      <c r="H75" s="1" t="s">
        <v>262</v>
      </c>
      <c r="I75" s="81" t="s">
        <v>306</v>
      </c>
      <c r="J75" s="3">
        <v>0</v>
      </c>
      <c r="K75" s="3">
        <v>1000000</v>
      </c>
      <c r="M75" s="97" t="s">
        <v>518</v>
      </c>
      <c r="N75" s="98" t="s">
        <v>353</v>
      </c>
      <c r="O75" s="95"/>
      <c r="P75" s="95"/>
      <c r="Q75" s="95"/>
      <c r="R75" s="95"/>
      <c r="S75" s="95">
        <v>-7.8380000000000001</v>
      </c>
      <c r="T75" s="95">
        <v>0.87060000000000004</v>
      </c>
      <c r="U75" s="98">
        <v>0.27060000000000001</v>
      </c>
      <c r="V75" s="99">
        <v>11.069552532664408</v>
      </c>
    </row>
    <row r="76" spans="1:22" x14ac:dyDescent="0.3">
      <c r="C76" s="1"/>
      <c r="D76" s="1"/>
      <c r="E76" s="1"/>
      <c r="F76" s="1"/>
      <c r="G76" s="1"/>
      <c r="H76" s="1"/>
    </row>
  </sheetData>
  <mergeCells count="6">
    <mergeCell ref="AL1:AV1"/>
    <mergeCell ref="A3:A4"/>
    <mergeCell ref="D1:K1"/>
    <mergeCell ref="M1:V1"/>
    <mergeCell ref="X1:AE1"/>
    <mergeCell ref="AG1:AJ1"/>
  </mergeCells>
  <phoneticPr fontId="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649A-4E89-4CE5-9D12-49A9261395CF}">
  <sheetPr>
    <tabColor theme="5" tint="0.59999389629810485"/>
  </sheetPr>
  <dimension ref="A1:AC74"/>
  <sheetViews>
    <sheetView zoomScale="85" zoomScaleNormal="85" workbookViewId="0">
      <selection activeCell="H31" sqref="H31"/>
    </sheetView>
  </sheetViews>
  <sheetFormatPr defaultRowHeight="15.6" x14ac:dyDescent="0.3"/>
  <cols>
    <col min="2" max="2" width="11.5" bestFit="1" customWidth="1"/>
    <col min="3" max="3" width="12.59765625" bestFit="1" customWidth="1"/>
    <col min="4" max="4" width="13.09765625" bestFit="1" customWidth="1"/>
    <col min="5" max="5" width="9.3984375" style="3" bestFit="1" customWidth="1"/>
    <col min="6" max="7" width="11.5" customWidth="1"/>
    <col min="8" max="8" width="60.3984375" bestFit="1" customWidth="1"/>
    <col min="9" max="9" width="21.19921875" bestFit="1" customWidth="1"/>
    <col min="10" max="11" width="9" style="3"/>
    <col min="12" max="12" width="10.8984375" style="3" bestFit="1" customWidth="1"/>
    <col min="17" max="17" width="23.69921875" bestFit="1" customWidth="1"/>
    <col min="18" max="18" width="13.5" bestFit="1" customWidth="1"/>
    <col min="24" max="24" width="15.09765625" bestFit="1" customWidth="1"/>
    <col min="29" max="29" width="15.09765625" bestFit="1" customWidth="1"/>
  </cols>
  <sheetData>
    <row r="1" spans="1:29" x14ac:dyDescent="0.3">
      <c r="A1" s="102" t="s">
        <v>33</v>
      </c>
      <c r="B1" s="102" t="s">
        <v>51</v>
      </c>
      <c r="C1" s="102" t="s">
        <v>547</v>
      </c>
      <c r="D1" s="102" t="s">
        <v>548</v>
      </c>
      <c r="E1" s="102" t="s">
        <v>551</v>
      </c>
      <c r="F1" s="3" t="s">
        <v>47</v>
      </c>
      <c r="G1" s="3" t="s">
        <v>48</v>
      </c>
      <c r="H1" s="1" t="s">
        <v>440</v>
      </c>
      <c r="I1" t="s">
        <v>550</v>
      </c>
      <c r="J1" s="102" t="s">
        <v>165</v>
      </c>
      <c r="K1" s="102" t="s">
        <v>302</v>
      </c>
      <c r="L1" s="3" t="s">
        <v>49</v>
      </c>
      <c r="M1" t="s">
        <v>50</v>
      </c>
      <c r="N1" s="3" t="s">
        <v>170</v>
      </c>
      <c r="O1" s="102" t="s">
        <v>549</v>
      </c>
      <c r="P1" s="102"/>
      <c r="Q1" s="3" t="s">
        <v>161</v>
      </c>
      <c r="U1" s="104"/>
      <c r="X1" s="104"/>
      <c r="Y1" s="104"/>
      <c r="Z1" s="104"/>
      <c r="AA1" s="104"/>
      <c r="AB1" s="104"/>
      <c r="AC1" s="104"/>
    </row>
    <row r="2" spans="1:29" x14ac:dyDescent="0.3">
      <c r="F2" s="3"/>
      <c r="G2" s="3"/>
      <c r="J2"/>
      <c r="K2"/>
      <c r="M2" s="1"/>
      <c r="O2" s="3"/>
      <c r="P2" s="102"/>
      <c r="Q2" t="s">
        <v>140</v>
      </c>
      <c r="R2" s="47">
        <v>15079215</v>
      </c>
    </row>
    <row r="3" spans="1:29" x14ac:dyDescent="0.3">
      <c r="A3" t="s">
        <v>36</v>
      </c>
      <c r="B3" t="s">
        <v>64</v>
      </c>
      <c r="C3" t="s">
        <v>405</v>
      </c>
      <c r="D3" t="s">
        <v>257</v>
      </c>
      <c r="E3" s="3" t="s">
        <v>167</v>
      </c>
      <c r="F3" s="3">
        <v>2</v>
      </c>
      <c r="G3" s="1" t="s">
        <v>526</v>
      </c>
      <c r="H3" s="1" t="s">
        <v>533</v>
      </c>
      <c r="I3" t="s">
        <v>545</v>
      </c>
      <c r="J3" t="s">
        <v>165</v>
      </c>
      <c r="K3" t="s">
        <v>302</v>
      </c>
      <c r="L3" t="s">
        <v>262</v>
      </c>
      <c r="M3" s="9">
        <v>1</v>
      </c>
      <c r="N3" s="3" t="s">
        <v>163</v>
      </c>
      <c r="O3" s="3" t="b">
        <v>1</v>
      </c>
      <c r="P3" s="102"/>
      <c r="Q3" t="s">
        <v>141</v>
      </c>
      <c r="R3" s="47">
        <v>788325</v>
      </c>
    </row>
    <row r="4" spans="1:29" x14ac:dyDescent="0.3">
      <c r="A4" t="s">
        <v>2</v>
      </c>
      <c r="B4" t="s">
        <v>65</v>
      </c>
      <c r="C4" t="s">
        <v>401</v>
      </c>
      <c r="D4" t="s">
        <v>310</v>
      </c>
      <c r="E4" s="3" t="s">
        <v>168</v>
      </c>
      <c r="F4" s="3">
        <v>3</v>
      </c>
      <c r="G4" s="1" t="s">
        <v>522</v>
      </c>
      <c r="H4" s="1" t="s">
        <v>534</v>
      </c>
      <c r="I4" t="s">
        <v>546</v>
      </c>
      <c r="J4" t="s">
        <v>260</v>
      </c>
      <c r="K4" t="s">
        <v>261</v>
      </c>
      <c r="L4" t="s">
        <v>38</v>
      </c>
      <c r="M4" s="9">
        <v>2</v>
      </c>
      <c r="N4" s="3" t="s">
        <v>162</v>
      </c>
      <c r="O4" s="3" t="b">
        <v>0</v>
      </c>
      <c r="P4" s="102"/>
      <c r="Q4" t="s">
        <v>142</v>
      </c>
      <c r="R4" s="47">
        <v>248690</v>
      </c>
    </row>
    <row r="5" spans="1:29" x14ac:dyDescent="0.3">
      <c r="A5" t="s">
        <v>37</v>
      </c>
      <c r="B5" t="s">
        <v>66</v>
      </c>
      <c r="F5" s="3">
        <v>4</v>
      </c>
      <c r="G5" s="1" t="s">
        <v>525</v>
      </c>
      <c r="H5" s="1" t="s">
        <v>535</v>
      </c>
      <c r="M5" s="9">
        <v>3</v>
      </c>
      <c r="Q5" t="s">
        <v>143</v>
      </c>
      <c r="R5" s="47">
        <v>141821</v>
      </c>
    </row>
    <row r="6" spans="1:29" x14ac:dyDescent="0.3">
      <c r="A6" t="s">
        <v>1</v>
      </c>
      <c r="B6" t="s">
        <v>67</v>
      </c>
      <c r="F6" s="3">
        <v>5</v>
      </c>
      <c r="G6" s="1" t="s">
        <v>524</v>
      </c>
      <c r="H6" s="1" t="s">
        <v>536</v>
      </c>
      <c r="M6" s="9">
        <v>4</v>
      </c>
      <c r="Q6" t="s">
        <v>144</v>
      </c>
      <c r="R6" s="47">
        <v>18576</v>
      </c>
    </row>
    <row r="7" spans="1:29" x14ac:dyDescent="0.3">
      <c r="A7" t="s">
        <v>3</v>
      </c>
      <c r="B7" t="s">
        <v>68</v>
      </c>
      <c r="F7" s="3">
        <v>6</v>
      </c>
      <c r="G7" s="1" t="s">
        <v>523</v>
      </c>
      <c r="H7" s="1" t="s">
        <v>403</v>
      </c>
      <c r="M7" s="9">
        <v>5</v>
      </c>
    </row>
    <row r="8" spans="1:29" x14ac:dyDescent="0.3">
      <c r="B8" t="s">
        <v>69</v>
      </c>
      <c r="G8" s="1" t="s">
        <v>527</v>
      </c>
      <c r="H8" s="1" t="s">
        <v>537</v>
      </c>
      <c r="M8" s="9">
        <v>6</v>
      </c>
    </row>
    <row r="9" spans="1:29" x14ac:dyDescent="0.3">
      <c r="B9" t="s">
        <v>70</v>
      </c>
      <c r="G9" s="1" t="s">
        <v>528</v>
      </c>
      <c r="H9" s="1" t="s">
        <v>538</v>
      </c>
      <c r="M9" s="9">
        <v>7</v>
      </c>
    </row>
    <row r="10" spans="1:29" x14ac:dyDescent="0.3">
      <c r="B10" t="s">
        <v>71</v>
      </c>
      <c r="G10" s="1" t="s">
        <v>529</v>
      </c>
      <c r="H10" s="1" t="s">
        <v>539</v>
      </c>
      <c r="M10" s="9">
        <v>8</v>
      </c>
    </row>
    <row r="11" spans="1:29" x14ac:dyDescent="0.3">
      <c r="B11" t="s">
        <v>72</v>
      </c>
      <c r="G11" s="1" t="s">
        <v>530</v>
      </c>
      <c r="H11" s="1" t="s">
        <v>540</v>
      </c>
      <c r="M11" s="9">
        <v>9</v>
      </c>
    </row>
    <row r="12" spans="1:29" x14ac:dyDescent="0.3">
      <c r="B12" t="s">
        <v>73</v>
      </c>
      <c r="G12" s="1" t="s">
        <v>531</v>
      </c>
      <c r="H12" s="1" t="s">
        <v>541</v>
      </c>
      <c r="M12" s="9">
        <v>10</v>
      </c>
    </row>
    <row r="13" spans="1:29" x14ac:dyDescent="0.3">
      <c r="B13" t="s">
        <v>74</v>
      </c>
      <c r="G13" s="1" t="s">
        <v>532</v>
      </c>
      <c r="H13" s="1" t="s">
        <v>542</v>
      </c>
      <c r="M13" s="9">
        <v>11</v>
      </c>
    </row>
    <row r="14" spans="1:29" x14ac:dyDescent="0.3">
      <c r="B14" t="s">
        <v>75</v>
      </c>
      <c r="G14" s="1" t="s">
        <v>408</v>
      </c>
      <c r="H14" s="1" t="s">
        <v>543</v>
      </c>
      <c r="M14" s="9">
        <v>12</v>
      </c>
    </row>
    <row r="15" spans="1:29" x14ac:dyDescent="0.3">
      <c r="B15" t="s">
        <v>76</v>
      </c>
      <c r="H15" s="1" t="s">
        <v>544</v>
      </c>
    </row>
    <row r="16" spans="1:29" x14ac:dyDescent="0.3">
      <c r="B16" t="s">
        <v>77</v>
      </c>
      <c r="H16" s="1" t="s">
        <v>408</v>
      </c>
    </row>
    <row r="17" spans="2:17" x14ac:dyDescent="0.3">
      <c r="B17" t="s">
        <v>78</v>
      </c>
    </row>
    <row r="18" spans="2:17" x14ac:dyDescent="0.3">
      <c r="B18" t="s">
        <v>79</v>
      </c>
      <c r="Q18" s="3"/>
    </row>
    <row r="19" spans="2:17" x14ac:dyDescent="0.3">
      <c r="B19" t="s">
        <v>80</v>
      </c>
      <c r="Q19" s="3"/>
    </row>
    <row r="20" spans="2:17" x14ac:dyDescent="0.3">
      <c r="B20" t="s">
        <v>81</v>
      </c>
      <c r="Q20" s="3"/>
    </row>
    <row r="21" spans="2:17" x14ac:dyDescent="0.3">
      <c r="B21" t="s">
        <v>82</v>
      </c>
      <c r="Q21" s="3"/>
    </row>
    <row r="22" spans="2:17" x14ac:dyDescent="0.3">
      <c r="B22" t="s">
        <v>83</v>
      </c>
      <c r="Q22" s="3"/>
    </row>
    <row r="23" spans="2:17" x14ac:dyDescent="0.3">
      <c r="B23" t="s">
        <v>84</v>
      </c>
      <c r="Q23" s="3"/>
    </row>
    <row r="24" spans="2:17" x14ac:dyDescent="0.3">
      <c r="B24" t="s">
        <v>85</v>
      </c>
      <c r="Q24" s="3"/>
    </row>
    <row r="25" spans="2:17" x14ac:dyDescent="0.3">
      <c r="B25" t="s">
        <v>86</v>
      </c>
    </row>
    <row r="26" spans="2:17" x14ac:dyDescent="0.3">
      <c r="B26" t="s">
        <v>87</v>
      </c>
    </row>
    <row r="27" spans="2:17" x14ac:dyDescent="0.3">
      <c r="B27" t="s">
        <v>88</v>
      </c>
    </row>
    <row r="28" spans="2:17" x14ac:dyDescent="0.3">
      <c r="B28" t="s">
        <v>89</v>
      </c>
    </row>
    <row r="29" spans="2:17" x14ac:dyDescent="0.3">
      <c r="B29" t="s">
        <v>90</v>
      </c>
    </row>
    <row r="30" spans="2:17" x14ac:dyDescent="0.3">
      <c r="B30" t="s">
        <v>91</v>
      </c>
    </row>
    <row r="31" spans="2:17" x14ac:dyDescent="0.3">
      <c r="B31" t="s">
        <v>92</v>
      </c>
    </row>
    <row r="32" spans="2:17" x14ac:dyDescent="0.3">
      <c r="B32" t="s">
        <v>93</v>
      </c>
    </row>
    <row r="33" spans="2:2" x14ac:dyDescent="0.3">
      <c r="B33" t="s">
        <v>94</v>
      </c>
    </row>
    <row r="34" spans="2:2" x14ac:dyDescent="0.3">
      <c r="B34" t="s">
        <v>95</v>
      </c>
    </row>
    <row r="35" spans="2:2" x14ac:dyDescent="0.3">
      <c r="B35" t="s">
        <v>96</v>
      </c>
    </row>
    <row r="36" spans="2:2" x14ac:dyDescent="0.3">
      <c r="B36" t="s">
        <v>97</v>
      </c>
    </row>
    <row r="37" spans="2:2" x14ac:dyDescent="0.3">
      <c r="B37" t="s">
        <v>98</v>
      </c>
    </row>
    <row r="38" spans="2:2" x14ac:dyDescent="0.3">
      <c r="B38" t="s">
        <v>99</v>
      </c>
    </row>
    <row r="39" spans="2:2" x14ac:dyDescent="0.3">
      <c r="B39" t="s">
        <v>100</v>
      </c>
    </row>
    <row r="40" spans="2:2" x14ac:dyDescent="0.3">
      <c r="B40" t="s">
        <v>101</v>
      </c>
    </row>
    <row r="41" spans="2:2" x14ac:dyDescent="0.3">
      <c r="B41" t="s">
        <v>102</v>
      </c>
    </row>
    <row r="42" spans="2:2" x14ac:dyDescent="0.3">
      <c r="B42" t="s">
        <v>103</v>
      </c>
    </row>
    <row r="43" spans="2:2" x14ac:dyDescent="0.3">
      <c r="B43" t="s">
        <v>104</v>
      </c>
    </row>
    <row r="44" spans="2:2" x14ac:dyDescent="0.3">
      <c r="B44" t="s">
        <v>105</v>
      </c>
    </row>
    <row r="45" spans="2:2" x14ac:dyDescent="0.3">
      <c r="B45" t="s">
        <v>106</v>
      </c>
    </row>
    <row r="46" spans="2:2" x14ac:dyDescent="0.3">
      <c r="B46" t="s">
        <v>107</v>
      </c>
    </row>
    <row r="47" spans="2:2" x14ac:dyDescent="0.3">
      <c r="B47" t="s">
        <v>108</v>
      </c>
    </row>
    <row r="48" spans="2:2" x14ac:dyDescent="0.3">
      <c r="B48" t="s">
        <v>109</v>
      </c>
    </row>
    <row r="49" spans="2:2" x14ac:dyDescent="0.3">
      <c r="B49" t="s">
        <v>110</v>
      </c>
    </row>
    <row r="50" spans="2:2" x14ac:dyDescent="0.3">
      <c r="B50" t="s">
        <v>111</v>
      </c>
    </row>
    <row r="51" spans="2:2" x14ac:dyDescent="0.3">
      <c r="B51" t="s">
        <v>112</v>
      </c>
    </row>
    <row r="52" spans="2:2" x14ac:dyDescent="0.3">
      <c r="B52" t="s">
        <v>113</v>
      </c>
    </row>
    <row r="53" spans="2:2" x14ac:dyDescent="0.3">
      <c r="B53" t="s">
        <v>114</v>
      </c>
    </row>
    <row r="54" spans="2:2" x14ac:dyDescent="0.3">
      <c r="B54" t="s">
        <v>115</v>
      </c>
    </row>
    <row r="55" spans="2:2" x14ac:dyDescent="0.3">
      <c r="B55" t="s">
        <v>116</v>
      </c>
    </row>
    <row r="56" spans="2:2" x14ac:dyDescent="0.3">
      <c r="B56" t="s">
        <v>117</v>
      </c>
    </row>
    <row r="57" spans="2:2" x14ac:dyDescent="0.3">
      <c r="B57" t="s">
        <v>118</v>
      </c>
    </row>
    <row r="58" spans="2:2" x14ac:dyDescent="0.3">
      <c r="B58" t="s">
        <v>119</v>
      </c>
    </row>
    <row r="59" spans="2:2" x14ac:dyDescent="0.3">
      <c r="B59" t="s">
        <v>120</v>
      </c>
    </row>
    <row r="60" spans="2:2" x14ac:dyDescent="0.3">
      <c r="B60" t="s">
        <v>121</v>
      </c>
    </row>
    <row r="61" spans="2:2" x14ac:dyDescent="0.3">
      <c r="B61" t="s">
        <v>122</v>
      </c>
    </row>
    <row r="62" spans="2:2" x14ac:dyDescent="0.3">
      <c r="B62" t="s">
        <v>123</v>
      </c>
    </row>
    <row r="63" spans="2:2" x14ac:dyDescent="0.3">
      <c r="B63" t="s">
        <v>124</v>
      </c>
    </row>
    <row r="64" spans="2:2" x14ac:dyDescent="0.3">
      <c r="B64" t="s">
        <v>125</v>
      </c>
    </row>
    <row r="65" spans="2:2" x14ac:dyDescent="0.3">
      <c r="B65" t="s">
        <v>126</v>
      </c>
    </row>
    <row r="66" spans="2:2" x14ac:dyDescent="0.3">
      <c r="B66" t="s">
        <v>127</v>
      </c>
    </row>
    <row r="67" spans="2:2" x14ac:dyDescent="0.3">
      <c r="B67" t="s">
        <v>128</v>
      </c>
    </row>
    <row r="68" spans="2:2" x14ac:dyDescent="0.3">
      <c r="B68" t="s">
        <v>129</v>
      </c>
    </row>
    <row r="69" spans="2:2" x14ac:dyDescent="0.3">
      <c r="B69" t="s">
        <v>130</v>
      </c>
    </row>
    <row r="70" spans="2:2" x14ac:dyDescent="0.3">
      <c r="B70" t="s">
        <v>131</v>
      </c>
    </row>
    <row r="71" spans="2:2" x14ac:dyDescent="0.3">
      <c r="B71" t="s">
        <v>132</v>
      </c>
    </row>
    <row r="72" spans="2:2" x14ac:dyDescent="0.3">
      <c r="B72" t="s">
        <v>133</v>
      </c>
    </row>
    <row r="73" spans="2:2" x14ac:dyDescent="0.3">
      <c r="B73" t="s">
        <v>134</v>
      </c>
    </row>
    <row r="74" spans="2:2" x14ac:dyDescent="0.3">
      <c r="B74" t="s">
        <v>135</v>
      </c>
    </row>
  </sheetData>
  <sortState xmlns:xlrd2="http://schemas.microsoft.com/office/spreadsheetml/2017/richdata2" ref="K3:K5">
    <sortCondition ref="K3:K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54288C657724180ED1312F00F45E4" ma:contentTypeVersion="1" ma:contentTypeDescription="Create a new document." ma:contentTypeScope="" ma:versionID="bb5a3f6e397b1690cf6564841654f2a0">
  <xsd:schema xmlns:xsd="http://www.w3.org/2001/XMLSchema" xmlns:xs="http://www.w3.org/2001/XMLSchema" xmlns:p="http://schemas.microsoft.com/office/2006/metadata/properties" xmlns:ns2="a8b72882-1d02-4704-8464-4e9c6e9dc531" targetNamespace="http://schemas.microsoft.com/office/2006/metadata/properties" ma:root="true" ma:fieldsID="5705412253ba870b06423a56f97807aa"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410BFC-5497-4F11-AA2C-D96D0D1205CC}"/>
</file>

<file path=customXml/itemProps2.xml><?xml version="1.0" encoding="utf-8"?>
<ds:datastoreItem xmlns:ds="http://schemas.openxmlformats.org/officeDocument/2006/customXml" ds:itemID="{526A5840-05FB-4F42-943A-584538261BFD}"/>
</file>

<file path=customXml/itemProps3.xml><?xml version="1.0" encoding="utf-8"?>
<ds:datastoreItem xmlns:ds="http://schemas.openxmlformats.org/officeDocument/2006/customXml" ds:itemID="{0ABAA6B2-CE00-42D7-9C79-4BFB149B5D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Intersections</vt:lpstr>
      <vt:lpstr>Segments</vt:lpstr>
      <vt:lpstr>Int_AWS Optimal Fit</vt:lpstr>
      <vt:lpstr>Seg_AWS Optimal Fit</vt:lpstr>
      <vt:lpstr>Lists</vt:lpstr>
      <vt:lpstr>Area_Type</vt:lpstr>
      <vt:lpstr>Control</vt:lpstr>
      <vt:lpstr>County</vt:lpstr>
      <vt:lpstr>Divided</vt:lpstr>
      <vt:lpstr>Freeway</vt:lpstr>
      <vt:lpstr>INT_Roadway</vt:lpstr>
      <vt:lpstr>IX_Type</vt:lpstr>
      <vt:lpstr>Lanes</vt:lpstr>
      <vt:lpstr>Legs</vt:lpstr>
      <vt:lpstr>Median</vt:lpstr>
      <vt:lpstr>RAB_Type</vt:lpstr>
      <vt:lpstr>Region</vt:lpstr>
      <vt:lpstr>SEG_Roadway</vt:lpstr>
      <vt:lpstr>TRUE_FALSE</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Lyon</dc:creator>
  <cp:lastModifiedBy>Brugman, Daniel J - DOT</cp:lastModifiedBy>
  <dcterms:created xsi:type="dcterms:W3CDTF">2018-11-22T16:16:22Z</dcterms:created>
  <dcterms:modified xsi:type="dcterms:W3CDTF">2025-09-15T16:28:32Z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0x01010084F54288C657724180ED1312F00F45E4</vt:lpwstr>
  </property>
</Properties>
</file>