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TJAS\Desktop\000\region utility conference handbooks NC\"/>
    </mc:Choice>
  </mc:AlternateContent>
  <bookViews>
    <workbookView xWindow="0" yWindow="0" windowWidth="19200" windowHeight="7230"/>
  </bookViews>
  <sheets>
    <sheet name="report" sheetId="1" r:id="rId1"/>
  </sheets>
  <definedNames>
    <definedName name="_xlnm.Print_Titles" localSheetId="0">report!$1:$1</definedName>
  </definedNames>
  <calcPr calcId="152511"/>
</workbook>
</file>

<file path=xl/calcChain.xml><?xml version="1.0" encoding="utf-8"?>
<calcChain xmlns="http://schemas.openxmlformats.org/spreadsheetml/2006/main">
  <c r="E210" i="1" l="1"/>
  <c r="E168" i="1"/>
  <c r="E142" i="1"/>
  <c r="E111" i="1"/>
  <c r="E110" i="1"/>
  <c r="E79" i="1"/>
  <c r="E53" i="1"/>
  <c r="E52" i="1"/>
  <c r="E19" i="1"/>
  <c r="E18" i="1"/>
  <c r="H1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I1" i="1"/>
  <c r="J1" i="1"/>
  <c r="A123" i="1"/>
  <c r="B123" i="1"/>
  <c r="I123" i="1"/>
  <c r="J123" i="1"/>
  <c r="F123" i="1"/>
  <c r="E123" i="1"/>
  <c r="A119" i="1"/>
  <c r="B119" i="1"/>
  <c r="I119" i="1"/>
  <c r="J119" i="1"/>
  <c r="F119" i="1"/>
  <c r="E119" i="1"/>
  <c r="A18" i="1"/>
  <c r="B18" i="1"/>
  <c r="I18" i="1"/>
  <c r="J18" i="1"/>
  <c r="F18" i="1"/>
  <c r="A52" i="1"/>
  <c r="B52" i="1"/>
  <c r="I52" i="1"/>
  <c r="J52" i="1"/>
  <c r="F52" i="1"/>
  <c r="A79" i="1"/>
  <c r="B79" i="1"/>
  <c r="I79" i="1"/>
  <c r="J79" i="1"/>
  <c r="F79" i="1"/>
  <c r="A110" i="1"/>
  <c r="B110" i="1"/>
  <c r="I110" i="1"/>
  <c r="J110" i="1"/>
  <c r="F110" i="1"/>
  <c r="A19" i="1"/>
  <c r="B19" i="1"/>
  <c r="I19" i="1"/>
  <c r="J19" i="1"/>
  <c r="F19" i="1"/>
  <c r="A53" i="1"/>
  <c r="B53" i="1"/>
  <c r="I53" i="1"/>
  <c r="J53" i="1"/>
  <c r="F53" i="1"/>
  <c r="A168" i="1"/>
  <c r="B168" i="1"/>
  <c r="I168" i="1"/>
  <c r="J168" i="1"/>
  <c r="F168" i="1"/>
  <c r="A210" i="1"/>
  <c r="B210" i="1"/>
  <c r="I210" i="1"/>
  <c r="J210" i="1"/>
  <c r="F210" i="1"/>
  <c r="A69" i="1"/>
  <c r="B69" i="1"/>
  <c r="I69" i="1"/>
  <c r="J69" i="1"/>
  <c r="F69" i="1"/>
  <c r="E69" i="1"/>
  <c r="A111" i="1"/>
  <c r="B111" i="1"/>
  <c r="I111" i="1"/>
  <c r="J111" i="1"/>
  <c r="F111" i="1"/>
  <c r="A112" i="1"/>
  <c r="B112" i="1"/>
  <c r="I112" i="1"/>
  <c r="J112" i="1"/>
  <c r="F112" i="1"/>
  <c r="E112" i="1"/>
  <c r="A124" i="1"/>
  <c r="B124" i="1"/>
  <c r="I124" i="1"/>
  <c r="J124" i="1"/>
  <c r="F124" i="1"/>
  <c r="E124" i="1"/>
  <c r="A102" i="1"/>
  <c r="B102" i="1"/>
  <c r="I102" i="1"/>
  <c r="J102" i="1"/>
  <c r="F102" i="1"/>
  <c r="E102" i="1"/>
  <c r="A100" i="1"/>
  <c r="B100" i="1"/>
  <c r="I100" i="1"/>
  <c r="J100" i="1"/>
  <c r="F100" i="1"/>
  <c r="E100" i="1"/>
  <c r="A131" i="1"/>
  <c r="B131" i="1"/>
  <c r="I131" i="1"/>
  <c r="J131" i="1"/>
  <c r="F131" i="1"/>
  <c r="E131" i="1"/>
  <c r="A146" i="1"/>
  <c r="B146" i="1"/>
  <c r="I146" i="1"/>
  <c r="J146" i="1"/>
  <c r="F146" i="1"/>
  <c r="E146" i="1"/>
  <c r="A147" i="1"/>
  <c r="B147" i="1"/>
  <c r="I147" i="1"/>
  <c r="J147" i="1"/>
  <c r="F147" i="1"/>
  <c r="E147" i="1"/>
  <c r="A37" i="1"/>
  <c r="B37" i="1"/>
  <c r="I37" i="1"/>
  <c r="J37" i="1"/>
  <c r="F37" i="1"/>
  <c r="E37" i="1"/>
  <c r="A91" i="1"/>
  <c r="B91" i="1"/>
  <c r="I91" i="1"/>
  <c r="J91" i="1"/>
  <c r="F91" i="1"/>
  <c r="E91" i="1"/>
  <c r="A89" i="1"/>
  <c r="B89" i="1"/>
  <c r="I89" i="1"/>
  <c r="J89" i="1"/>
  <c r="F89" i="1"/>
  <c r="E89" i="1"/>
  <c r="A72" i="1"/>
  <c r="B72" i="1"/>
  <c r="I72" i="1"/>
  <c r="J72" i="1"/>
  <c r="F72" i="1"/>
  <c r="E72" i="1"/>
  <c r="A90" i="1"/>
  <c r="B90" i="1"/>
  <c r="I90" i="1"/>
  <c r="J90" i="1"/>
  <c r="F90" i="1"/>
  <c r="E90" i="1"/>
  <c r="A200" i="1"/>
  <c r="B200" i="1"/>
  <c r="I200" i="1"/>
  <c r="J200" i="1"/>
  <c r="F200" i="1"/>
  <c r="E200" i="1"/>
  <c r="A142" i="1"/>
  <c r="B142" i="1"/>
  <c r="I142" i="1"/>
  <c r="J142" i="1"/>
  <c r="F142" i="1"/>
  <c r="A201" i="1"/>
  <c r="B201" i="1"/>
  <c r="I201" i="1"/>
  <c r="J201" i="1"/>
  <c r="F201" i="1"/>
  <c r="E201" i="1"/>
  <c r="A9" i="1"/>
  <c r="B9" i="1"/>
  <c r="I9" i="1"/>
  <c r="J9" i="1"/>
  <c r="F9" i="1"/>
  <c r="E9" i="1"/>
  <c r="A202" i="1"/>
  <c r="B202" i="1"/>
  <c r="I202" i="1"/>
  <c r="J202" i="1"/>
  <c r="F202" i="1"/>
  <c r="E202" i="1"/>
  <c r="A203" i="1"/>
  <c r="B203" i="1"/>
  <c r="I203" i="1"/>
  <c r="J203" i="1"/>
  <c r="F203" i="1"/>
  <c r="E203" i="1"/>
  <c r="A51" i="1"/>
  <c r="B51" i="1"/>
  <c r="I51" i="1"/>
  <c r="J51" i="1"/>
  <c r="F51" i="1"/>
  <c r="E51" i="1"/>
  <c r="A224" i="1"/>
  <c r="B224" i="1"/>
  <c r="I224" i="1"/>
  <c r="J224" i="1"/>
  <c r="F224" i="1"/>
  <c r="E224" i="1"/>
  <c r="A179" i="1"/>
  <c r="B179" i="1"/>
  <c r="I179" i="1"/>
  <c r="J179" i="1"/>
  <c r="F179" i="1"/>
  <c r="E179" i="1"/>
  <c r="A31" i="1"/>
  <c r="B31" i="1"/>
  <c r="I31" i="1"/>
  <c r="J31" i="1"/>
  <c r="F31" i="1"/>
  <c r="E31" i="1"/>
  <c r="A32" i="1"/>
  <c r="B32" i="1"/>
  <c r="I32" i="1"/>
  <c r="J32" i="1"/>
  <c r="F32" i="1"/>
  <c r="E32" i="1"/>
  <c r="A225" i="1"/>
  <c r="B225" i="1"/>
  <c r="I225" i="1"/>
  <c r="J225" i="1"/>
  <c r="F225" i="1"/>
  <c r="E225" i="1"/>
  <c r="A226" i="1"/>
  <c r="B226" i="1"/>
  <c r="I226" i="1"/>
  <c r="J226" i="1"/>
  <c r="F226" i="1"/>
  <c r="E226" i="1"/>
  <c r="A61" i="1"/>
  <c r="B61" i="1"/>
  <c r="I61" i="1"/>
  <c r="J61" i="1"/>
  <c r="F61" i="1"/>
  <c r="E61" i="1"/>
  <c r="A232" i="1"/>
  <c r="B232" i="1"/>
  <c r="I232" i="1"/>
  <c r="J232" i="1"/>
  <c r="F232" i="1"/>
  <c r="E232" i="1"/>
  <c r="A135" i="1"/>
  <c r="B135" i="1"/>
  <c r="I135" i="1"/>
  <c r="J135" i="1"/>
  <c r="F135" i="1"/>
  <c r="E135" i="1"/>
  <c r="A96" i="1"/>
  <c r="B96" i="1"/>
  <c r="I96" i="1"/>
  <c r="J96" i="1"/>
  <c r="F96" i="1"/>
  <c r="E96" i="1"/>
  <c r="A172" i="1"/>
  <c r="B172" i="1"/>
  <c r="I172" i="1"/>
  <c r="J172" i="1"/>
  <c r="F172" i="1"/>
  <c r="E172" i="1"/>
  <c r="A215" i="1"/>
  <c r="B215" i="1"/>
  <c r="I215" i="1"/>
  <c r="J215" i="1"/>
  <c r="F215" i="1"/>
  <c r="E215" i="1"/>
  <c r="A23" i="1"/>
  <c r="B23" i="1"/>
  <c r="I23" i="1"/>
  <c r="J23" i="1"/>
  <c r="F23" i="1"/>
  <c r="E23" i="1"/>
  <c r="A216" i="1"/>
  <c r="B216" i="1"/>
  <c r="I216" i="1"/>
  <c r="J216" i="1"/>
  <c r="F216" i="1"/>
  <c r="E216" i="1"/>
  <c r="A205" i="1"/>
  <c r="B205" i="1"/>
  <c r="I205" i="1"/>
  <c r="J205" i="1"/>
  <c r="F205" i="1"/>
  <c r="E205" i="1"/>
  <c r="A206" i="1"/>
  <c r="B206" i="1"/>
  <c r="I206" i="1"/>
  <c r="J206" i="1"/>
  <c r="F206" i="1"/>
  <c r="E206" i="1"/>
  <c r="A233" i="1"/>
  <c r="B233" i="1"/>
  <c r="I233" i="1"/>
  <c r="J233" i="1"/>
  <c r="F233" i="1"/>
  <c r="E233" i="1"/>
  <c r="A54" i="1"/>
  <c r="B54" i="1"/>
  <c r="I54" i="1"/>
  <c r="J54" i="1"/>
  <c r="F54" i="1"/>
  <c r="E54" i="1"/>
  <c r="A173" i="1"/>
  <c r="B173" i="1"/>
  <c r="I173" i="1"/>
  <c r="J173" i="1"/>
  <c r="F173" i="1"/>
  <c r="E173" i="1"/>
  <c r="A174" i="1"/>
  <c r="B174" i="1"/>
  <c r="I174" i="1"/>
  <c r="J174" i="1"/>
  <c r="F174" i="1"/>
  <c r="E174" i="1"/>
  <c r="A24" i="1"/>
  <c r="B24" i="1"/>
  <c r="I24" i="1"/>
  <c r="J24" i="1"/>
  <c r="F24" i="1"/>
  <c r="E24" i="1"/>
  <c r="A97" i="1"/>
  <c r="B97" i="1"/>
  <c r="I97" i="1"/>
  <c r="J97" i="1"/>
  <c r="F97" i="1"/>
  <c r="E97" i="1"/>
  <c r="A17" i="1"/>
  <c r="B17" i="1"/>
  <c r="I17" i="1"/>
  <c r="J17" i="1"/>
  <c r="F17" i="1"/>
  <c r="E17" i="1"/>
  <c r="A234" i="1"/>
  <c r="B234" i="1"/>
  <c r="I234" i="1"/>
  <c r="J234" i="1"/>
  <c r="F234" i="1"/>
  <c r="E234" i="1"/>
  <c r="A25" i="1"/>
  <c r="B25" i="1"/>
  <c r="I25" i="1"/>
  <c r="J25" i="1"/>
  <c r="F25" i="1"/>
  <c r="E25" i="1"/>
  <c r="A217" i="1"/>
  <c r="B217" i="1"/>
  <c r="I217" i="1"/>
  <c r="J217" i="1"/>
  <c r="F217" i="1"/>
  <c r="E217" i="1"/>
  <c r="A55" i="1"/>
  <c r="B55" i="1"/>
  <c r="I55" i="1"/>
  <c r="J55" i="1"/>
  <c r="F55" i="1"/>
  <c r="E55" i="1"/>
  <c r="A175" i="1"/>
  <c r="B175" i="1"/>
  <c r="I175" i="1"/>
  <c r="J175" i="1"/>
  <c r="F175" i="1"/>
  <c r="E175" i="1"/>
  <c r="A81" i="1"/>
  <c r="B81" i="1"/>
  <c r="I81" i="1"/>
  <c r="J81" i="1"/>
  <c r="F81" i="1"/>
  <c r="E81" i="1"/>
  <c r="A218" i="1"/>
  <c r="B218" i="1"/>
  <c r="I218" i="1"/>
  <c r="J218" i="1"/>
  <c r="F218" i="1"/>
  <c r="E218" i="1"/>
  <c r="A82" i="1"/>
  <c r="B82" i="1"/>
  <c r="I82" i="1"/>
  <c r="J82" i="1"/>
  <c r="F82" i="1"/>
  <c r="E82" i="1"/>
  <c r="A83" i="1"/>
  <c r="B83" i="1"/>
  <c r="I83" i="1"/>
  <c r="J83" i="1"/>
  <c r="F83" i="1"/>
  <c r="E83" i="1"/>
  <c r="A219" i="1"/>
  <c r="B219" i="1"/>
  <c r="I219" i="1"/>
  <c r="J219" i="1"/>
  <c r="F219" i="1"/>
  <c r="E219" i="1"/>
  <c r="A10" i="1"/>
  <c r="B10" i="1"/>
  <c r="I10" i="1"/>
  <c r="J10" i="1"/>
  <c r="F10" i="1"/>
  <c r="E10" i="1"/>
  <c r="A11" i="1"/>
  <c r="B11" i="1"/>
  <c r="I11" i="1"/>
  <c r="J11" i="1"/>
  <c r="F11" i="1"/>
  <c r="E11" i="1"/>
  <c r="A169" i="1"/>
  <c r="B169" i="1"/>
  <c r="I169" i="1"/>
  <c r="J169" i="1"/>
  <c r="F169" i="1"/>
  <c r="E169" i="1"/>
  <c r="A92" i="1"/>
  <c r="B92" i="1"/>
  <c r="I92" i="1"/>
  <c r="J92" i="1"/>
  <c r="F92" i="1"/>
  <c r="E92" i="1"/>
  <c r="A80" i="1"/>
  <c r="B80" i="1"/>
  <c r="I80" i="1"/>
  <c r="J80" i="1"/>
  <c r="F80" i="1"/>
  <c r="E80" i="1"/>
  <c r="A227" i="1"/>
  <c r="B227" i="1"/>
  <c r="I227" i="1"/>
  <c r="J227" i="1"/>
  <c r="F227" i="1"/>
  <c r="E227" i="1"/>
  <c r="A45" i="1"/>
  <c r="B45" i="1"/>
  <c r="I45" i="1"/>
  <c r="J45" i="1"/>
  <c r="F45" i="1"/>
  <c r="E45" i="1"/>
  <c r="A46" i="1"/>
  <c r="B46" i="1"/>
  <c r="I46" i="1"/>
  <c r="J46" i="1"/>
  <c r="F46" i="1"/>
  <c r="E46" i="1"/>
  <c r="A190" i="1"/>
  <c r="B190" i="1"/>
  <c r="I190" i="1"/>
  <c r="J190" i="1"/>
  <c r="F190" i="1"/>
  <c r="E190" i="1"/>
  <c r="A191" i="1"/>
  <c r="B191" i="1"/>
  <c r="I191" i="1"/>
  <c r="J191" i="1"/>
  <c r="F191" i="1"/>
  <c r="E191" i="1"/>
  <c r="A192" i="1"/>
  <c r="B192" i="1"/>
  <c r="I192" i="1"/>
  <c r="J192" i="1"/>
  <c r="F192" i="1"/>
  <c r="E192" i="1"/>
  <c r="A195" i="1"/>
  <c r="B195" i="1"/>
  <c r="I195" i="1"/>
  <c r="J195" i="1"/>
  <c r="F195" i="1"/>
  <c r="E195" i="1"/>
  <c r="A8" i="1"/>
  <c r="B8" i="1"/>
  <c r="I8" i="1"/>
  <c r="J8" i="1"/>
  <c r="F8" i="1"/>
  <c r="E8" i="1"/>
  <c r="A132" i="1"/>
  <c r="B132" i="1"/>
  <c r="I132" i="1"/>
  <c r="J132" i="1"/>
  <c r="F132" i="1"/>
  <c r="E132" i="1"/>
  <c r="A133" i="1"/>
  <c r="B133" i="1"/>
  <c r="I133" i="1"/>
  <c r="J133" i="1"/>
  <c r="F133" i="1"/>
  <c r="E133" i="1"/>
  <c r="A134" i="1"/>
  <c r="B134" i="1"/>
  <c r="I134" i="1"/>
  <c r="J134" i="1"/>
  <c r="F134" i="1"/>
  <c r="E134" i="1"/>
  <c r="A196" i="1"/>
  <c r="B196" i="1"/>
  <c r="I196" i="1"/>
  <c r="J196" i="1"/>
  <c r="F196" i="1"/>
  <c r="E196" i="1"/>
  <c r="A197" i="1"/>
  <c r="B197" i="1"/>
  <c r="I197" i="1"/>
  <c r="J197" i="1"/>
  <c r="F197" i="1"/>
  <c r="E197" i="1"/>
  <c r="A198" i="1"/>
  <c r="B198" i="1"/>
  <c r="I198" i="1"/>
  <c r="J198" i="1"/>
  <c r="F198" i="1"/>
  <c r="E198" i="1"/>
  <c r="A20" i="1"/>
  <c r="B20" i="1"/>
  <c r="I20" i="1"/>
  <c r="J20" i="1"/>
  <c r="F20" i="1"/>
  <c r="E20" i="1"/>
  <c r="A21" i="1"/>
  <c r="B21" i="1"/>
  <c r="I21" i="1"/>
  <c r="J21" i="1"/>
  <c r="F21" i="1"/>
  <c r="E21" i="1"/>
  <c r="A47" i="1"/>
  <c r="B47" i="1"/>
  <c r="I47" i="1"/>
  <c r="J47" i="1"/>
  <c r="F47" i="1"/>
  <c r="E47" i="1"/>
  <c r="A70" i="1"/>
  <c r="B70" i="1"/>
  <c r="I70" i="1"/>
  <c r="J70" i="1"/>
  <c r="F70" i="1"/>
  <c r="E70" i="1"/>
  <c r="A105" i="1"/>
  <c r="B105" i="1"/>
  <c r="I105" i="1"/>
  <c r="J105" i="1"/>
  <c r="F105" i="1"/>
  <c r="E105" i="1"/>
  <c r="A106" i="1"/>
  <c r="B106" i="1"/>
  <c r="I106" i="1"/>
  <c r="J106" i="1"/>
  <c r="F106" i="1"/>
  <c r="E106" i="1"/>
  <c r="A107" i="1"/>
  <c r="B107" i="1"/>
  <c r="I107" i="1"/>
  <c r="J107" i="1"/>
  <c r="F107" i="1"/>
  <c r="E107" i="1"/>
  <c r="A108" i="1"/>
  <c r="B108" i="1"/>
  <c r="I108" i="1"/>
  <c r="J108" i="1"/>
  <c r="F108" i="1"/>
  <c r="E108" i="1"/>
  <c r="A138" i="1"/>
  <c r="B138" i="1"/>
  <c r="I138" i="1"/>
  <c r="J138" i="1"/>
  <c r="F138" i="1"/>
  <c r="E138" i="1"/>
  <c r="A139" i="1"/>
  <c r="B139" i="1"/>
  <c r="I139" i="1"/>
  <c r="J139" i="1"/>
  <c r="F139" i="1"/>
  <c r="E139" i="1"/>
  <c r="A140" i="1"/>
  <c r="B140" i="1"/>
  <c r="I140" i="1"/>
  <c r="J140" i="1"/>
  <c r="F140" i="1"/>
  <c r="E140" i="1"/>
  <c r="A207" i="1"/>
  <c r="B207" i="1"/>
  <c r="I207" i="1"/>
  <c r="J207" i="1"/>
  <c r="F207" i="1"/>
  <c r="E207" i="1"/>
  <c r="A141" i="1"/>
  <c r="B141" i="1"/>
  <c r="I141" i="1"/>
  <c r="J141" i="1"/>
  <c r="F141" i="1"/>
  <c r="E141" i="1"/>
  <c r="A165" i="1"/>
  <c r="B165" i="1"/>
  <c r="I165" i="1"/>
  <c r="J165" i="1"/>
  <c r="F165" i="1"/>
  <c r="E165" i="1"/>
  <c r="A93" i="1"/>
  <c r="B93" i="1"/>
  <c r="I93" i="1"/>
  <c r="J93" i="1"/>
  <c r="F93" i="1"/>
  <c r="E93" i="1"/>
  <c r="A94" i="1"/>
  <c r="B94" i="1"/>
  <c r="I94" i="1"/>
  <c r="J94" i="1"/>
  <c r="F94" i="1"/>
  <c r="E94" i="1"/>
  <c r="A154" i="1"/>
  <c r="B154" i="1"/>
  <c r="I154" i="1"/>
  <c r="J154" i="1"/>
  <c r="F154" i="1"/>
  <c r="E154" i="1"/>
  <c r="A26" i="1"/>
  <c r="B26" i="1"/>
  <c r="I26" i="1"/>
  <c r="J26" i="1"/>
  <c r="F26" i="1"/>
  <c r="E26" i="1"/>
  <c r="A57" i="1"/>
  <c r="B57" i="1"/>
  <c r="I57" i="1"/>
  <c r="J57" i="1"/>
  <c r="F57" i="1"/>
  <c r="E57" i="1"/>
  <c r="A222" i="1"/>
  <c r="B222" i="1"/>
  <c r="I222" i="1"/>
  <c r="J222" i="1"/>
  <c r="F222" i="1"/>
  <c r="E222" i="1"/>
  <c r="A211" i="1"/>
  <c r="B211" i="1"/>
  <c r="I211" i="1"/>
  <c r="J211" i="1"/>
  <c r="F211" i="1"/>
  <c r="E211" i="1"/>
  <c r="A212" i="1"/>
  <c r="B212" i="1"/>
  <c r="I212" i="1"/>
  <c r="J212" i="1"/>
  <c r="F212" i="1"/>
  <c r="E212" i="1"/>
  <c r="A115" i="1"/>
  <c r="B115" i="1"/>
  <c r="I115" i="1"/>
  <c r="J115" i="1"/>
  <c r="F115" i="1"/>
  <c r="E115" i="1"/>
  <c r="A58" i="1"/>
  <c r="B58" i="1"/>
  <c r="I58" i="1"/>
  <c r="J58" i="1"/>
  <c r="F58" i="1"/>
  <c r="E58" i="1"/>
  <c r="A22" i="1"/>
  <c r="B22" i="1"/>
  <c r="I22" i="1"/>
  <c r="J22" i="1"/>
  <c r="F22" i="1"/>
  <c r="E22" i="1"/>
  <c r="A199" i="1"/>
  <c r="B199" i="1"/>
  <c r="I199" i="1"/>
  <c r="J199" i="1"/>
  <c r="F199" i="1"/>
  <c r="E199" i="1"/>
  <c r="A113" i="1"/>
  <c r="B113" i="1"/>
  <c r="I113" i="1"/>
  <c r="J113" i="1"/>
  <c r="F113" i="1"/>
  <c r="E113" i="1"/>
  <c r="A170" i="1"/>
  <c r="B170" i="1"/>
  <c r="I170" i="1"/>
  <c r="J170" i="1"/>
  <c r="F170" i="1"/>
  <c r="E170" i="1"/>
  <c r="A171" i="1"/>
  <c r="B171" i="1"/>
  <c r="I171" i="1"/>
  <c r="J171" i="1"/>
  <c r="F171" i="1"/>
  <c r="E171" i="1"/>
  <c r="A148" i="1"/>
  <c r="B148" i="1"/>
  <c r="I148" i="1"/>
  <c r="J148" i="1"/>
  <c r="F148" i="1"/>
  <c r="E148" i="1"/>
  <c r="A149" i="1"/>
  <c r="B149" i="1"/>
  <c r="I149" i="1"/>
  <c r="J149" i="1"/>
  <c r="F149" i="1"/>
  <c r="E149" i="1"/>
  <c r="A150" i="1"/>
  <c r="B150" i="1"/>
  <c r="I150" i="1"/>
  <c r="J150" i="1"/>
  <c r="F150" i="1"/>
  <c r="E150" i="1"/>
  <c r="A118" i="1"/>
  <c r="B118" i="1"/>
  <c r="I118" i="1"/>
  <c r="J118" i="1"/>
  <c r="F118" i="1"/>
  <c r="E118" i="1"/>
  <c r="A153" i="1"/>
  <c r="B153" i="1"/>
  <c r="I153" i="1"/>
  <c r="J153" i="1"/>
  <c r="F153" i="1"/>
  <c r="E153" i="1"/>
  <c r="A101" i="1"/>
  <c r="B101" i="1"/>
  <c r="I101" i="1"/>
  <c r="J101" i="1"/>
  <c r="F101" i="1"/>
  <c r="E101" i="1"/>
  <c r="A145" i="1"/>
  <c r="B145" i="1"/>
  <c r="I145" i="1"/>
  <c r="J145" i="1"/>
  <c r="F145" i="1"/>
  <c r="E145" i="1"/>
  <c r="A178" i="1"/>
  <c r="B178" i="1"/>
  <c r="I178" i="1"/>
  <c r="J178" i="1"/>
  <c r="F178" i="1"/>
  <c r="E178" i="1"/>
  <c r="A204" i="1"/>
  <c r="B204" i="1"/>
  <c r="I204" i="1"/>
  <c r="J204" i="1"/>
  <c r="F204" i="1"/>
  <c r="E204" i="1"/>
  <c r="A159" i="1"/>
  <c r="B159" i="1"/>
  <c r="I159" i="1"/>
  <c r="J159" i="1"/>
  <c r="F159" i="1"/>
  <c r="E159" i="1"/>
  <c r="A12" i="1"/>
  <c r="B12" i="1"/>
  <c r="I12" i="1"/>
  <c r="J12" i="1"/>
  <c r="F12" i="1"/>
  <c r="E12" i="1"/>
  <c r="A13" i="1"/>
  <c r="B13" i="1"/>
  <c r="I13" i="1"/>
  <c r="J13" i="1"/>
  <c r="F13" i="1"/>
  <c r="E13" i="1"/>
  <c r="A74" i="1"/>
  <c r="B74" i="1"/>
  <c r="I74" i="1"/>
  <c r="J74" i="1"/>
  <c r="F74" i="1"/>
  <c r="E74" i="1"/>
  <c r="A208" i="1"/>
  <c r="B208" i="1"/>
  <c r="I208" i="1"/>
  <c r="J208" i="1"/>
  <c r="F208" i="1"/>
  <c r="E208" i="1"/>
  <c r="A209" i="1"/>
  <c r="B209" i="1"/>
  <c r="I209" i="1"/>
  <c r="J209" i="1"/>
  <c r="F209" i="1"/>
  <c r="E209" i="1"/>
  <c r="A180" i="1"/>
  <c r="B180" i="1"/>
  <c r="I180" i="1"/>
  <c r="J180" i="1"/>
  <c r="F180" i="1"/>
  <c r="E180" i="1"/>
  <c r="A186" i="1"/>
  <c r="B186" i="1"/>
  <c r="I186" i="1"/>
  <c r="J186" i="1"/>
  <c r="F186" i="1"/>
  <c r="E186" i="1"/>
  <c r="A68" i="1"/>
  <c r="B68" i="1"/>
  <c r="I68" i="1"/>
  <c r="J68" i="1"/>
  <c r="F68" i="1"/>
  <c r="E68" i="1"/>
  <c r="A2" i="1"/>
  <c r="B2" i="1"/>
  <c r="I2" i="1"/>
  <c r="J2" i="1"/>
  <c r="F2" i="1"/>
  <c r="E2" i="1"/>
  <c r="A75" i="1"/>
  <c r="B75" i="1"/>
  <c r="I75" i="1"/>
  <c r="J75" i="1"/>
  <c r="F75" i="1"/>
  <c r="E75" i="1"/>
  <c r="A76" i="1"/>
  <c r="B76" i="1"/>
  <c r="I76" i="1"/>
  <c r="J76" i="1"/>
  <c r="F76" i="1"/>
  <c r="E76" i="1"/>
  <c r="A166" i="1"/>
  <c r="B166" i="1"/>
  <c r="I166" i="1"/>
  <c r="J166" i="1"/>
  <c r="F166" i="1"/>
  <c r="E166" i="1"/>
  <c r="A167" i="1"/>
  <c r="B167" i="1"/>
  <c r="I167" i="1"/>
  <c r="J167" i="1"/>
  <c r="F167" i="1"/>
  <c r="E167" i="1"/>
  <c r="A98" i="1"/>
  <c r="B98" i="1"/>
  <c r="I98" i="1"/>
  <c r="J98" i="1"/>
  <c r="F98" i="1"/>
  <c r="E98" i="1"/>
  <c r="A185" i="1"/>
  <c r="B185" i="1"/>
  <c r="I185" i="1"/>
  <c r="J185" i="1"/>
  <c r="F185" i="1"/>
  <c r="E185" i="1"/>
  <c r="A162" i="1"/>
  <c r="B162" i="1"/>
  <c r="I162" i="1"/>
  <c r="J162" i="1"/>
  <c r="F162" i="1"/>
  <c r="E162" i="1"/>
  <c r="A120" i="1"/>
  <c r="B120" i="1"/>
  <c r="I120" i="1"/>
  <c r="J120" i="1"/>
  <c r="F120" i="1"/>
  <c r="E120" i="1"/>
  <c r="A35" i="1"/>
  <c r="B35" i="1"/>
  <c r="I35" i="1"/>
  <c r="J35" i="1"/>
  <c r="F35" i="1"/>
  <c r="E35" i="1"/>
  <c r="A33" i="1"/>
  <c r="B33" i="1"/>
  <c r="I33" i="1"/>
  <c r="J33" i="1"/>
  <c r="F33" i="1"/>
  <c r="E33" i="1"/>
  <c r="A34" i="1"/>
  <c r="B34" i="1"/>
  <c r="I34" i="1"/>
  <c r="J34" i="1"/>
  <c r="F34" i="1"/>
  <c r="E34" i="1"/>
  <c r="A151" i="1"/>
  <c r="B151" i="1"/>
  <c r="I151" i="1"/>
  <c r="J151" i="1"/>
  <c r="F151" i="1"/>
  <c r="E151" i="1"/>
  <c r="A63" i="1"/>
  <c r="B63" i="1"/>
  <c r="I63" i="1"/>
  <c r="J63" i="1"/>
  <c r="F63" i="1"/>
  <c r="E63" i="1"/>
  <c r="A64" i="1"/>
  <c r="B64" i="1"/>
  <c r="I64" i="1"/>
  <c r="J64" i="1"/>
  <c r="F64" i="1"/>
  <c r="E64" i="1"/>
  <c r="A155" i="1"/>
  <c r="B155" i="1"/>
  <c r="I155" i="1"/>
  <c r="J155" i="1"/>
  <c r="F155" i="1"/>
  <c r="E155" i="1"/>
  <c r="A27" i="1"/>
  <c r="B27" i="1"/>
  <c r="I27" i="1"/>
  <c r="J27" i="1"/>
  <c r="F27" i="1"/>
  <c r="E27" i="1"/>
  <c r="A121" i="1"/>
  <c r="B121" i="1"/>
  <c r="I121" i="1"/>
  <c r="J121" i="1"/>
  <c r="F121" i="1"/>
  <c r="E121" i="1"/>
  <c r="A156" i="1"/>
  <c r="B156" i="1"/>
  <c r="I156" i="1"/>
  <c r="J156" i="1"/>
  <c r="F156" i="1"/>
  <c r="E156" i="1"/>
  <c r="A144" i="1"/>
  <c r="B144" i="1"/>
  <c r="I144" i="1"/>
  <c r="J144" i="1"/>
  <c r="F144" i="1"/>
  <c r="E144" i="1"/>
  <c r="A220" i="1"/>
  <c r="B220" i="1"/>
  <c r="I220" i="1"/>
  <c r="J220" i="1"/>
  <c r="F220" i="1"/>
  <c r="E220" i="1"/>
  <c r="A28" i="1"/>
  <c r="B28" i="1"/>
  <c r="I28" i="1"/>
  <c r="J28" i="1"/>
  <c r="F28" i="1"/>
  <c r="E28" i="1"/>
  <c r="A84" i="1"/>
  <c r="B84" i="1"/>
  <c r="I84" i="1"/>
  <c r="J84" i="1"/>
  <c r="F84" i="1"/>
  <c r="E84" i="1"/>
  <c r="A221" i="1"/>
  <c r="B221" i="1"/>
  <c r="I221" i="1"/>
  <c r="J221" i="1"/>
  <c r="F221" i="1"/>
  <c r="E221" i="1"/>
  <c r="A56" i="1"/>
  <c r="B56" i="1"/>
  <c r="I56" i="1"/>
  <c r="J56" i="1"/>
  <c r="F56" i="1"/>
  <c r="E56" i="1"/>
  <c r="A38" i="1"/>
  <c r="B38" i="1"/>
  <c r="I38" i="1"/>
  <c r="J38" i="1"/>
  <c r="F38" i="1"/>
  <c r="E38" i="1"/>
  <c r="A39" i="1"/>
  <c r="B39" i="1"/>
  <c r="I39" i="1"/>
  <c r="J39" i="1"/>
  <c r="F39" i="1"/>
  <c r="E39" i="1"/>
  <c r="A40" i="1"/>
  <c r="B40" i="1"/>
  <c r="I40" i="1"/>
  <c r="J40" i="1"/>
  <c r="F40" i="1"/>
  <c r="E40" i="1"/>
  <c r="A41" i="1"/>
  <c r="B41" i="1"/>
  <c r="I41" i="1"/>
  <c r="J41" i="1"/>
  <c r="F41" i="1"/>
  <c r="E41" i="1"/>
  <c r="A42" i="1"/>
  <c r="B42" i="1"/>
  <c r="I42" i="1"/>
  <c r="J42" i="1"/>
  <c r="F42" i="1"/>
  <c r="E42" i="1"/>
  <c r="A136" i="1"/>
  <c r="B136" i="1"/>
  <c r="I136" i="1"/>
  <c r="J136" i="1"/>
  <c r="F136" i="1"/>
  <c r="E136" i="1"/>
  <c r="A137" i="1"/>
  <c r="B137" i="1"/>
  <c r="I137" i="1"/>
  <c r="J137" i="1"/>
  <c r="F137" i="1"/>
  <c r="E137" i="1"/>
  <c r="A73" i="1"/>
  <c r="B73" i="1"/>
  <c r="I73" i="1"/>
  <c r="J73" i="1"/>
  <c r="F73" i="1"/>
  <c r="E73" i="1"/>
  <c r="A125" i="1"/>
  <c r="B125" i="1"/>
  <c r="I125" i="1"/>
  <c r="J125" i="1"/>
  <c r="F125" i="1"/>
  <c r="E125" i="1"/>
  <c r="A29" i="1"/>
  <c r="B29" i="1"/>
  <c r="I29" i="1"/>
  <c r="J29" i="1"/>
  <c r="F29" i="1"/>
  <c r="E29" i="1"/>
  <c r="A30" i="1"/>
  <c r="B30" i="1"/>
  <c r="I30" i="1"/>
  <c r="J30" i="1"/>
  <c r="F30" i="1"/>
  <c r="E30" i="1"/>
  <c r="A176" i="1"/>
  <c r="B176" i="1"/>
  <c r="I176" i="1"/>
  <c r="J176" i="1"/>
  <c r="F176" i="1"/>
  <c r="E176" i="1"/>
  <c r="A177" i="1"/>
  <c r="B177" i="1"/>
  <c r="I177" i="1"/>
  <c r="J177" i="1"/>
  <c r="F177" i="1"/>
  <c r="E177" i="1"/>
  <c r="A85" i="1"/>
  <c r="B85" i="1"/>
  <c r="I85" i="1"/>
  <c r="J85" i="1"/>
  <c r="F85" i="1"/>
  <c r="E85" i="1"/>
  <c r="A86" i="1"/>
  <c r="B86" i="1"/>
  <c r="I86" i="1"/>
  <c r="J86" i="1"/>
  <c r="F86" i="1"/>
  <c r="E86" i="1"/>
  <c r="A87" i="1"/>
  <c r="B87" i="1"/>
  <c r="I87" i="1"/>
  <c r="J87" i="1"/>
  <c r="F87" i="1"/>
  <c r="E87" i="1"/>
  <c r="A88" i="1"/>
  <c r="B88" i="1"/>
  <c r="I88" i="1"/>
  <c r="J88" i="1"/>
  <c r="F88" i="1"/>
  <c r="E88" i="1"/>
  <c r="A182" i="1"/>
  <c r="B182" i="1"/>
  <c r="I182" i="1"/>
  <c r="J182" i="1"/>
  <c r="F182" i="1"/>
  <c r="E182" i="1"/>
  <c r="A95" i="1"/>
  <c r="B95" i="1"/>
  <c r="I95" i="1"/>
  <c r="J95" i="1"/>
  <c r="F95" i="1"/>
  <c r="E95" i="1"/>
  <c r="A36" i="1"/>
  <c r="B36" i="1"/>
  <c r="I36" i="1"/>
  <c r="J36" i="1"/>
  <c r="F36" i="1"/>
  <c r="E36" i="1"/>
  <c r="A188" i="1"/>
  <c r="B188" i="1"/>
  <c r="I188" i="1"/>
  <c r="J188" i="1"/>
  <c r="F188" i="1"/>
  <c r="E188" i="1"/>
  <c r="A157" i="1"/>
  <c r="B157" i="1"/>
  <c r="I157" i="1"/>
  <c r="J157" i="1"/>
  <c r="F157" i="1"/>
  <c r="E157" i="1"/>
  <c r="A158" i="1"/>
  <c r="B158" i="1"/>
  <c r="I158" i="1"/>
  <c r="J158" i="1"/>
  <c r="F158" i="1"/>
  <c r="E158" i="1"/>
  <c r="A62" i="1"/>
  <c r="B62" i="1"/>
  <c r="I62" i="1"/>
  <c r="J62" i="1"/>
  <c r="F62" i="1"/>
  <c r="E62" i="1"/>
  <c r="A152" i="1"/>
  <c r="B152" i="1"/>
  <c r="I152" i="1"/>
  <c r="J152" i="1"/>
  <c r="F152" i="1"/>
  <c r="E152" i="1"/>
  <c r="A229" i="1"/>
  <c r="B229" i="1"/>
  <c r="I229" i="1"/>
  <c r="J229" i="1"/>
  <c r="F229" i="1"/>
  <c r="E229" i="1"/>
  <c r="A183" i="1"/>
  <c r="B183" i="1"/>
  <c r="I183" i="1"/>
  <c r="J183" i="1"/>
  <c r="F183" i="1"/>
  <c r="E183" i="1"/>
  <c r="A184" i="1"/>
  <c r="B184" i="1"/>
  <c r="I184" i="1"/>
  <c r="J184" i="1"/>
  <c r="F184" i="1"/>
  <c r="E184" i="1"/>
  <c r="A230" i="1"/>
  <c r="B230" i="1"/>
  <c r="I230" i="1"/>
  <c r="J230" i="1"/>
  <c r="F230" i="1"/>
  <c r="E230" i="1"/>
  <c r="A235" i="1"/>
  <c r="B235" i="1"/>
  <c r="I235" i="1"/>
  <c r="J235" i="1"/>
  <c r="F235" i="1"/>
  <c r="E235" i="1"/>
  <c r="A122" i="1"/>
  <c r="B122" i="1"/>
  <c r="I122" i="1"/>
  <c r="J122" i="1"/>
  <c r="F122" i="1"/>
  <c r="E122" i="1"/>
  <c r="A231" i="1"/>
  <c r="B231" i="1"/>
  <c r="I231" i="1"/>
  <c r="J231" i="1"/>
  <c r="F231" i="1"/>
  <c r="E231" i="1"/>
  <c r="A65" i="1"/>
  <c r="B65" i="1"/>
  <c r="I65" i="1"/>
  <c r="J65" i="1"/>
  <c r="F65" i="1"/>
  <c r="E65" i="1"/>
  <c r="A66" i="1"/>
  <c r="B66" i="1"/>
  <c r="I66" i="1"/>
  <c r="J66" i="1"/>
  <c r="F66" i="1"/>
  <c r="E66" i="1"/>
  <c r="A163" i="1"/>
  <c r="B163" i="1"/>
  <c r="I163" i="1"/>
  <c r="J163" i="1"/>
  <c r="F163" i="1"/>
  <c r="E163" i="1"/>
  <c r="A14" i="1"/>
  <c r="B14" i="1"/>
  <c r="I14" i="1"/>
  <c r="J14" i="1"/>
  <c r="F14" i="1"/>
  <c r="E14" i="1"/>
  <c r="A15" i="1"/>
  <c r="B15" i="1"/>
  <c r="I15" i="1"/>
  <c r="J15" i="1"/>
  <c r="F15" i="1"/>
  <c r="E15" i="1"/>
  <c r="A16" i="1"/>
  <c r="B16" i="1"/>
  <c r="I16" i="1"/>
  <c r="J16" i="1"/>
  <c r="F16" i="1"/>
  <c r="E16" i="1"/>
  <c r="A126" i="1"/>
  <c r="B126" i="1"/>
  <c r="I126" i="1"/>
  <c r="J126" i="1"/>
  <c r="F126" i="1"/>
  <c r="E126" i="1"/>
  <c r="A49" i="1"/>
  <c r="B49" i="1"/>
  <c r="I49" i="1"/>
  <c r="J49" i="1"/>
  <c r="F49" i="1"/>
  <c r="E49" i="1"/>
  <c r="A103" i="1"/>
  <c r="B103" i="1"/>
  <c r="I103" i="1"/>
  <c r="J103" i="1"/>
  <c r="F103" i="1"/>
  <c r="E103" i="1"/>
  <c r="A50" i="1"/>
  <c r="B50" i="1"/>
  <c r="I50" i="1"/>
  <c r="J50" i="1"/>
  <c r="F50" i="1"/>
  <c r="E50" i="1"/>
  <c r="A213" i="1"/>
  <c r="B213" i="1"/>
  <c r="I213" i="1"/>
  <c r="J213" i="1"/>
  <c r="F213" i="1"/>
  <c r="E213" i="1"/>
  <c r="A214" i="1"/>
  <c r="B214" i="1"/>
  <c r="I214" i="1"/>
  <c r="J214" i="1"/>
  <c r="F214" i="1"/>
  <c r="E214" i="1"/>
  <c r="A114" i="1"/>
  <c r="B114" i="1"/>
  <c r="I114" i="1"/>
  <c r="J114" i="1"/>
  <c r="F114" i="1"/>
  <c r="E114" i="1"/>
  <c r="A161" i="1"/>
  <c r="B161" i="1"/>
  <c r="I161" i="1"/>
  <c r="J161" i="1"/>
  <c r="F161" i="1"/>
  <c r="E161" i="1"/>
  <c r="A44" i="1"/>
  <c r="B44" i="1"/>
  <c r="I44" i="1"/>
  <c r="J44" i="1"/>
  <c r="F44" i="1"/>
  <c r="E44" i="1"/>
  <c r="A130" i="1"/>
  <c r="B130" i="1"/>
  <c r="I130" i="1"/>
  <c r="J130" i="1"/>
  <c r="F130" i="1"/>
  <c r="E130" i="1"/>
  <c r="A4" i="1"/>
  <c r="B4" i="1"/>
  <c r="I4" i="1"/>
  <c r="J4" i="1"/>
  <c r="F4" i="1"/>
  <c r="E4" i="1"/>
  <c r="A5" i="1"/>
  <c r="B5" i="1"/>
  <c r="I5" i="1"/>
  <c r="J5" i="1"/>
  <c r="F5" i="1"/>
  <c r="E5" i="1"/>
  <c r="A6" i="1"/>
  <c r="B6" i="1"/>
  <c r="I6" i="1"/>
  <c r="J6" i="1"/>
  <c r="F6" i="1"/>
  <c r="E6" i="1"/>
  <c r="A7" i="1"/>
  <c r="B7" i="1"/>
  <c r="I7" i="1"/>
  <c r="J7" i="1"/>
  <c r="F7" i="1"/>
  <c r="E7" i="1"/>
  <c r="A71" i="1"/>
  <c r="B71" i="1"/>
  <c r="I71" i="1"/>
  <c r="J71" i="1"/>
  <c r="F71" i="1"/>
  <c r="E71" i="1"/>
  <c r="A194" i="1"/>
  <c r="B194" i="1"/>
  <c r="I194" i="1"/>
  <c r="J194" i="1"/>
  <c r="F194" i="1"/>
  <c r="E194" i="1"/>
  <c r="A116" i="1"/>
  <c r="B116" i="1"/>
  <c r="I116" i="1"/>
  <c r="J116" i="1"/>
  <c r="F116" i="1"/>
  <c r="E116" i="1"/>
  <c r="A117" i="1"/>
  <c r="B117" i="1"/>
  <c r="I117" i="1"/>
  <c r="J117" i="1"/>
  <c r="F117" i="1"/>
  <c r="E117" i="1"/>
  <c r="A228" i="1"/>
  <c r="B228" i="1"/>
  <c r="I228" i="1"/>
  <c r="J228" i="1"/>
  <c r="F228" i="1"/>
  <c r="E228" i="1"/>
  <c r="A223" i="1"/>
  <c r="B223" i="1"/>
  <c r="I223" i="1"/>
  <c r="J223" i="1"/>
  <c r="F223" i="1"/>
  <c r="E223" i="1"/>
  <c r="A181" i="1"/>
  <c r="B181" i="1"/>
  <c r="I181" i="1"/>
  <c r="J181" i="1"/>
  <c r="F181" i="1"/>
  <c r="E181" i="1"/>
  <c r="A48" i="1"/>
  <c r="B48" i="1"/>
  <c r="I48" i="1"/>
  <c r="J48" i="1"/>
  <c r="F48" i="1"/>
  <c r="E48" i="1"/>
  <c r="A3" i="1"/>
  <c r="B3" i="1"/>
  <c r="I3" i="1"/>
  <c r="J3" i="1"/>
  <c r="F3" i="1"/>
  <c r="E3" i="1"/>
  <c r="A59" i="1"/>
  <c r="B59" i="1"/>
  <c r="I59" i="1"/>
  <c r="J59" i="1"/>
  <c r="F59" i="1"/>
  <c r="E59" i="1"/>
  <c r="A60" i="1"/>
  <c r="B60" i="1"/>
  <c r="I60" i="1"/>
  <c r="J60" i="1"/>
  <c r="F60" i="1"/>
  <c r="E60" i="1"/>
  <c r="A193" i="1"/>
  <c r="B193" i="1"/>
  <c r="I193" i="1"/>
  <c r="J193" i="1"/>
  <c r="F193" i="1"/>
  <c r="E193" i="1"/>
  <c r="A128" i="1"/>
  <c r="B128" i="1"/>
  <c r="I128" i="1"/>
  <c r="J128" i="1"/>
  <c r="F128" i="1"/>
  <c r="E128" i="1"/>
  <c r="A129" i="1"/>
  <c r="B129" i="1"/>
  <c r="I129" i="1"/>
  <c r="J129" i="1"/>
  <c r="F129" i="1"/>
  <c r="E129" i="1"/>
  <c r="A143" i="1"/>
  <c r="B143" i="1"/>
  <c r="I143" i="1"/>
  <c r="J143" i="1"/>
  <c r="F143" i="1"/>
  <c r="E143" i="1"/>
  <c r="A189" i="1"/>
  <c r="B189" i="1"/>
  <c r="I189" i="1"/>
  <c r="J189" i="1"/>
  <c r="F189" i="1"/>
  <c r="E189" i="1"/>
  <c r="A104" i="1"/>
  <c r="B104" i="1"/>
  <c r="I104" i="1"/>
  <c r="J104" i="1"/>
  <c r="F104" i="1"/>
  <c r="E104" i="1"/>
  <c r="A164" i="1"/>
  <c r="B164" i="1"/>
  <c r="I164" i="1"/>
  <c r="J164" i="1"/>
  <c r="F164" i="1"/>
  <c r="E164" i="1"/>
  <c r="A109" i="1"/>
  <c r="B109" i="1"/>
  <c r="I109" i="1"/>
  <c r="J109" i="1"/>
  <c r="F109" i="1"/>
  <c r="E109" i="1"/>
  <c r="A77" i="1"/>
  <c r="B77" i="1"/>
  <c r="I77" i="1"/>
  <c r="J77" i="1"/>
  <c r="F77" i="1"/>
  <c r="E77" i="1"/>
  <c r="A78" i="1"/>
  <c r="B78" i="1"/>
  <c r="I78" i="1"/>
  <c r="J78" i="1"/>
  <c r="F78" i="1"/>
  <c r="E78" i="1"/>
</calcChain>
</file>

<file path=xl/sharedStrings.xml><?xml version="1.0" encoding="utf-8"?>
<sst xmlns="http://schemas.openxmlformats.org/spreadsheetml/2006/main" count="7" uniqueCount="7">
  <si>
    <t>DESIGN PROJ. ID</t>
  </si>
  <si>
    <t>CONST. PROJ. ID</t>
  </si>
  <si>
    <t>STATE FISC. YEAR</t>
  </si>
  <si>
    <t>LET DATE</t>
  </si>
  <si>
    <t>COUNTY</t>
  </si>
  <si>
    <t>HWY</t>
  </si>
  <si>
    <t>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</si>
</sst>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18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5"/>
  <sheetViews>
    <sheetView tabSelected="1" workbookViewId="0">
      <pane ySplit="1" topLeftCell="A2" activePane="bottomLeft" state="frozen"/>
      <selection pane="bottomLeft" activeCell="D5" sqref="D5"/>
    </sheetView>
  </sheetViews>
  <sheetFormatPr defaultColWidth="8.85546875" defaultRowHeight="15" x14ac:dyDescent="0.25"/>
  <cols>
    <col min="1" max="2" width="10.28515625" style="1" bestFit="1" customWidth="1"/>
    <col min="3" max="3" width="12.28515625" style="1" bestFit="1" customWidth="1"/>
    <col min="4" max="4" width="10.5703125" style="1" bestFit="1" customWidth="1"/>
    <col min="5" max="5" width="12.5703125" style="2" bestFit="1" customWidth="1"/>
    <col min="6" max="6" width="9" style="1" bestFit="1" customWidth="1"/>
    <col min="7" max="7" width="9.5703125" style="1" bestFit="1" customWidth="1"/>
    <col min="8" max="8" width="39.7109375" style="1" bestFit="1" customWidth="1"/>
    <col min="9" max="9" width="38.28515625" style="1" bestFit="1" customWidth="1"/>
    <col min="10" max="10" width="37.85546875" style="1" bestFit="1" customWidth="1"/>
    <col min="11" max="16384" width="8.85546875" style="1"/>
  </cols>
  <sheetData>
    <row r="1" spans="1:10" s="4" customFormat="1" ht="56.25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tr">
        <f>CLEAN("TITLE")</f>
        <v>TITLE</v>
      </c>
      <c r="I1" s="4" t="str">
        <f>CLEAN("LIMIT")</f>
        <v>LIMIT</v>
      </c>
      <c r="J1" s="4" t="str">
        <f>CLEAN("CONCEPT")</f>
        <v>CONCEPT</v>
      </c>
    </row>
    <row r="2" spans="1:10" x14ac:dyDescent="0.25">
      <c r="A2" s="1" t="str">
        <f>CLEAN("6140-01-02")</f>
        <v>6140-01-02</v>
      </c>
      <c r="B2" s="1" t="str">
        <f>CLEAN("6140-01-72")</f>
        <v>6140-01-72</v>
      </c>
      <c r="C2" s="1">
        <v>2016</v>
      </c>
      <c r="D2" s="3">
        <v>42500</v>
      </c>
      <c r="E2" s="2" t="str">
        <f>CLEAN("ADAMS")</f>
        <v>ADAMS</v>
      </c>
      <c r="F2" s="1" t="str">
        <f>CLEAN("STH-013")</f>
        <v>STH-013</v>
      </c>
      <c r="G2" s="1">
        <v>3.34</v>
      </c>
      <c r="H2" s="1" t="str">
        <f>CLEAN("WISCONSIN DELLS - ADAMS")</f>
        <v>WISCONSIN DELLS - ADAMS</v>
      </c>
      <c r="I2" s="1" t="str">
        <f>CLEAN("CTH E TO UNION PACIFIC RAILROAD")</f>
        <v>CTH E TO UNION PACIFIC RAILROAD</v>
      </c>
      <c r="J2" s="1" t="str">
        <f>CLEAN("CONST/RESURFACE")</f>
        <v>CONST/RESURFACE</v>
      </c>
    </row>
    <row r="3" spans="1:10" x14ac:dyDescent="0.25">
      <c r="A3" s="1" t="str">
        <f>CLEAN("9231-10-00")</f>
        <v>9231-10-00</v>
      </c>
      <c r="B3" s="1" t="str">
        <f>CLEAN("9231-10-70")</f>
        <v>9231-10-70</v>
      </c>
      <c r="C3" s="1">
        <v>2016</v>
      </c>
      <c r="D3" s="3">
        <v>42563</v>
      </c>
      <c r="E3" s="2" t="str">
        <f>CLEAN("IRON")</f>
        <v>IRON</v>
      </c>
      <c r="F3" s="1" t="str">
        <f>CLEAN("STH-047")</f>
        <v>STH-047</v>
      </c>
      <c r="G3" s="1">
        <v>0</v>
      </c>
      <c r="H3" s="1" t="str">
        <f>CLEAN("WOODRUFF - MANITOWISH")</f>
        <v>WOODRUFF - MANITOWISH</v>
      </c>
      <c r="I3" s="1" t="str">
        <f>CLEAN("LOST CREEK BRIDGE  B-26-0040")</f>
        <v>LOST CREEK BRIDGE  B-26-0040</v>
      </c>
      <c r="J3" s="1" t="str">
        <f>CLEAN("CONST/BRIDGE REPLACEMENT")</f>
        <v>CONST/BRIDGE REPLACEMENT</v>
      </c>
    </row>
    <row r="4" spans="1:10" x14ac:dyDescent="0.25">
      <c r="A4" s="1" t="str">
        <f>CLEAN("9155-05-00")</f>
        <v>9155-05-00</v>
      </c>
      <c r="B4" s="1" t="str">
        <f>CLEAN("9155-05-70")</f>
        <v>9155-05-70</v>
      </c>
      <c r="C4" s="1">
        <v>2016</v>
      </c>
      <c r="D4" s="3">
        <v>42500</v>
      </c>
      <c r="E4" s="2" t="str">
        <f>CLEAN("LANGLADE")</f>
        <v>LANGLADE</v>
      </c>
      <c r="F4" s="1" t="str">
        <f>CLEAN("STH-055")</f>
        <v>STH-055</v>
      </c>
      <c r="G4" s="1">
        <v>7.58</v>
      </c>
      <c r="H4" s="1" t="str">
        <f>CLEAN("LANGLADE - PICKEREL")</f>
        <v>LANGLADE - PICKEREL</v>
      </c>
      <c r="I4" s="1" t="str">
        <f>CLEAN("SCHOOL ROAD TO CTH T")</f>
        <v>SCHOOL ROAD TO CTH T</v>
      </c>
      <c r="J4" s="1" t="str">
        <f>CLEAN("CONST/RESURFACE")</f>
        <v>CONST/RESURFACE</v>
      </c>
    </row>
    <row r="5" spans="1:10" x14ac:dyDescent="0.25">
      <c r="A5" s="1" t="str">
        <f>CLEAN("9155-06-30")</f>
        <v>9155-06-30</v>
      </c>
      <c r="B5" s="1" t="str">
        <f>CLEAN("9155-06-70")</f>
        <v>9155-06-70</v>
      </c>
      <c r="C5" s="1">
        <v>2016</v>
      </c>
      <c r="D5" s="3">
        <v>42472</v>
      </c>
      <c r="E5" s="2" t="str">
        <f>CLEAN("LANGLADE")</f>
        <v>LANGLADE</v>
      </c>
      <c r="F5" s="1" t="str">
        <f>CLEAN("STH-055")</f>
        <v>STH-055</v>
      </c>
      <c r="G5" s="1">
        <v>5.9109999999999996</v>
      </c>
      <c r="H5" s="1" t="str">
        <f>CLEAN("SHAWANO - LANGLADE")</f>
        <v>SHAWANO - LANGLADE</v>
      </c>
      <c r="I5" s="1" t="str">
        <f>CLEAN("STH 64 TO HOLLISTER ROAD")</f>
        <v>STH 64 TO HOLLISTER ROAD</v>
      </c>
      <c r="J5" s="1" t="str">
        <f>CLEAN("CONST/RESURFACE")</f>
        <v>CONST/RESURFACE</v>
      </c>
    </row>
    <row r="6" spans="1:10" x14ac:dyDescent="0.25">
      <c r="A6" s="1" t="str">
        <f>CLEAN("9155-13-30")</f>
        <v>9155-13-30</v>
      </c>
      <c r="B6" s="1" t="str">
        <f>CLEAN("9155-13-60")</f>
        <v>9155-13-60</v>
      </c>
      <c r="C6" s="1">
        <v>2016</v>
      </c>
      <c r="D6" s="3">
        <v>42500</v>
      </c>
      <c r="E6" s="2" t="str">
        <f>CLEAN("LANGLADE")</f>
        <v>LANGLADE</v>
      </c>
      <c r="F6" s="1" t="str">
        <f>CLEAN("STH-055")</f>
        <v>STH-055</v>
      </c>
      <c r="G6" s="1">
        <v>5.75</v>
      </c>
      <c r="H6" s="1" t="str">
        <f>CLEAN("PICKEREL - ARGONNE")</f>
        <v>PICKEREL - ARGONNE</v>
      </c>
      <c r="I6" s="1" t="str">
        <f>CLEAN("CTH T TO NORTH COUNTY LINE")</f>
        <v>CTH T TO NORTH COUNTY LINE</v>
      </c>
      <c r="J6" s="1" t="str">
        <f>CLEAN("CONST/SHRM STATE FUND APRVL 10/6/11")</f>
        <v>CONST/SHRM STATE FUND APRVL 10/6/11</v>
      </c>
    </row>
    <row r="7" spans="1:10" x14ac:dyDescent="0.25">
      <c r="A7" s="1" t="str">
        <f>CLEAN("9155-14-30")</f>
        <v>9155-14-30</v>
      </c>
      <c r="B7" s="1" t="str">
        <f>CLEAN("9155-14-70")</f>
        <v>9155-14-70</v>
      </c>
      <c r="C7" s="1">
        <v>2016</v>
      </c>
      <c r="D7" s="3">
        <v>42472</v>
      </c>
      <c r="E7" s="2" t="str">
        <f>CLEAN("LANGLADE")</f>
        <v>LANGLADE</v>
      </c>
      <c r="F7" s="1" t="str">
        <f>CLEAN("STH-055")</f>
        <v>STH-055</v>
      </c>
      <c r="G7" s="1">
        <v>6.63</v>
      </c>
      <c r="H7" s="1" t="str">
        <f>CLEAN("PICKEREL - ARGONNE")</f>
        <v>PICKEREL - ARGONNE</v>
      </c>
      <c r="I7" s="1" t="str">
        <f>CLEAN("SOUTH COUNTY LINE TO STH 64")</f>
        <v>SOUTH COUNTY LINE TO STH 64</v>
      </c>
      <c r="J7" s="1" t="str">
        <f>CLEAN("CONST/RESURFACE")</f>
        <v>CONST/RESURFACE</v>
      </c>
    </row>
    <row r="8" spans="1:10" x14ac:dyDescent="0.25">
      <c r="A8" s="1" t="str">
        <f>CLEAN("1176-03-01")</f>
        <v>1176-03-01</v>
      </c>
      <c r="B8" s="1" t="str">
        <f>CLEAN("1176-03-71")</f>
        <v>1176-03-71</v>
      </c>
      <c r="C8" s="1">
        <v>2016</v>
      </c>
      <c r="D8" s="3">
        <v>42472</v>
      </c>
      <c r="E8" s="2" t="str">
        <f>CLEAN("LINCOLN")</f>
        <v>LINCOLN</v>
      </c>
      <c r="F8" s="1" t="str">
        <f>CLEAN("USH-051")</f>
        <v>USH-051</v>
      </c>
      <c r="G8" s="1">
        <v>1.37</v>
      </c>
      <c r="H8" s="1" t="str">
        <f>CLEAN("MERRILL - TOMAHAWK")</f>
        <v>MERRILL - TOMAHAWK</v>
      </c>
      <c r="I8" s="1" t="str">
        <f>CLEAN("CTH S INTERCHANGE")</f>
        <v>CTH S INTERCHANGE</v>
      </c>
      <c r="J8" s="1" t="str">
        <f>CLEAN("CONST/CABLE BARRIER")</f>
        <v>CONST/CABLE BARRIER</v>
      </c>
    </row>
    <row r="9" spans="1:10" x14ac:dyDescent="0.25">
      <c r="A9" s="1" t="str">
        <f>CLEAN("1053-02-30")</f>
        <v>1053-02-30</v>
      </c>
      <c r="B9" s="1" t="str">
        <f>CLEAN("1053-02-60")</f>
        <v>1053-02-60</v>
      </c>
      <c r="C9" s="1">
        <v>2016</v>
      </c>
      <c r="D9" s="3">
        <v>42472</v>
      </c>
      <c r="E9" s="2" t="str">
        <f t="shared" ref="E9:E16" si="0">CLEAN("MARATHON")</f>
        <v>MARATHON</v>
      </c>
      <c r="F9" s="1" t="str">
        <f>CLEAN("STH-029")</f>
        <v>STH-029</v>
      </c>
      <c r="G9" s="1">
        <v>4.33</v>
      </c>
      <c r="H9" s="1" t="str">
        <f>CLEAN("WAUSAU - WITTENBERG")</f>
        <v>WAUSAU - WITTENBERG</v>
      </c>
      <c r="I9" s="1" t="str">
        <f>CLEAN("CTH J TO CTH Q")</f>
        <v>CTH J TO CTH Q</v>
      </c>
      <c r="J9" s="1" t="str">
        <f>CLEAN("CONST/PM APPVAL 6/1/11 JOINT REPAIR")</f>
        <v>CONST/PM APPVAL 6/1/11 JOINT REPAIR</v>
      </c>
    </row>
    <row r="10" spans="1:10" x14ac:dyDescent="0.25">
      <c r="A10" s="1" t="str">
        <f>CLEAN("1170-00-04")</f>
        <v>1170-00-04</v>
      </c>
      <c r="B10" s="1" t="str">
        <f>CLEAN("1170-00-74")</f>
        <v>1170-00-74</v>
      </c>
      <c r="C10" s="1">
        <v>2016</v>
      </c>
      <c r="D10" s="3">
        <v>42381</v>
      </c>
      <c r="E10" s="2" t="str">
        <f t="shared" si="0"/>
        <v>MARATHON</v>
      </c>
      <c r="F10" s="1" t="str">
        <f>CLEAN("USH-051")</f>
        <v>USH-051</v>
      </c>
      <c r="G10" s="1">
        <v>1.29</v>
      </c>
      <c r="H10" s="1" t="str">
        <f>CLEAN("WAUSAU - MERRILL")</f>
        <v>WAUSAU - MERRILL</v>
      </c>
      <c r="I10" s="1" t="str">
        <f>CLEAN("B-37-155 158 159")</f>
        <v>B-37-155 158 159</v>
      </c>
      <c r="J10" s="1" t="str">
        <f>CLEAN("CONST/BRIDGE REHAB")</f>
        <v>CONST/BRIDGE REHAB</v>
      </c>
    </row>
    <row r="11" spans="1:10" x14ac:dyDescent="0.25">
      <c r="A11" s="1" t="str">
        <f>CLEAN("1170-01-05")</f>
        <v>1170-01-05</v>
      </c>
      <c r="B11" s="1" t="str">
        <f>CLEAN("1170-01-75")</f>
        <v>1170-01-75</v>
      </c>
      <c r="C11" s="1">
        <v>2016</v>
      </c>
      <c r="D11" s="3">
        <v>42500</v>
      </c>
      <c r="E11" s="2" t="str">
        <f t="shared" si="0"/>
        <v>MARATHON</v>
      </c>
      <c r="F11" s="1" t="str">
        <f>CLEAN("USH-051")</f>
        <v>USH-051</v>
      </c>
      <c r="G11" s="1">
        <v>8.35</v>
      </c>
      <c r="H11" s="1" t="str">
        <f>CLEAN("WAUSAU - MERRILL")</f>
        <v>WAUSAU - MERRILL</v>
      </c>
      <c r="I11" s="1" t="str">
        <f>CLEAN("DECATOR DRIVE TO LINCOLN CO LINE")</f>
        <v>DECATOR DRIVE TO LINCOLN CO LINE</v>
      </c>
      <c r="J11" s="1" t="str">
        <f>CLEAN("CONST/RESURFACE")</f>
        <v>CONST/RESURFACE</v>
      </c>
    </row>
    <row r="12" spans="1:10" x14ac:dyDescent="0.25">
      <c r="A12" s="1" t="str">
        <f>CLEAN("1620-03-00")</f>
        <v>1620-03-00</v>
      </c>
      <c r="B12" s="1" t="str">
        <f>CLEAN("1620-03-70")</f>
        <v>1620-03-70</v>
      </c>
      <c r="C12" s="1">
        <v>2016</v>
      </c>
      <c r="D12" s="3">
        <v>42472</v>
      </c>
      <c r="E12" s="2" t="str">
        <f t="shared" si="0"/>
        <v>MARATHON</v>
      </c>
      <c r="F12" s="1" t="str">
        <f>CLEAN("STH-013")</f>
        <v>STH-013</v>
      </c>
      <c r="G12" s="1">
        <v>1.25</v>
      </c>
      <c r="H12" s="1" t="str">
        <f>CLEAN("C MARSHFIELD  VETERANS PARKWAY")</f>
        <v>C MARSHFIELD  VETERANS PARKWAY</v>
      </c>
      <c r="I12" s="1" t="str">
        <f>CLEAN("MCMILLAN STREET TO MANN STREET")</f>
        <v>MCMILLAN STREET TO MANN STREET</v>
      </c>
      <c r="J12" s="1" t="str">
        <f>CLEAN("CONST/RESURFACE")</f>
        <v>CONST/RESURFACE</v>
      </c>
    </row>
    <row r="13" spans="1:10" x14ac:dyDescent="0.25">
      <c r="A13" s="1" t="str">
        <f>CLEAN("1620-03-01")</f>
        <v>1620-03-01</v>
      </c>
      <c r="B13" s="1" t="str">
        <f>CLEAN("1620-03-71")</f>
        <v>1620-03-71</v>
      </c>
      <c r="C13" s="1">
        <v>2016</v>
      </c>
      <c r="D13" s="3">
        <v>42472</v>
      </c>
      <c r="E13" s="2" t="str">
        <f t="shared" si="0"/>
        <v>MARATHON</v>
      </c>
      <c r="F13" s="1" t="str">
        <f>CLEAN("STH-013")</f>
        <v>STH-013</v>
      </c>
      <c r="G13" s="1">
        <v>0.96</v>
      </c>
      <c r="H13" s="1" t="str">
        <f>CLEAN("MARSHFIELD - ABBOTSFORD")</f>
        <v>MARSHFIELD - ABBOTSFORD</v>
      </c>
      <c r="I13" s="1" t="str">
        <f>CLEAN("MANN STREET TO 26TH ROAD")</f>
        <v>MANN STREET TO 26TH ROAD</v>
      </c>
      <c r="J13" s="1" t="str">
        <f>CLEAN("CONSTR/RESURFACE")</f>
        <v>CONSTR/RESURFACE</v>
      </c>
    </row>
    <row r="14" spans="1:10" x14ac:dyDescent="0.25">
      <c r="A14" s="1" t="str">
        <f>CLEAN("6999-03-09")</f>
        <v>6999-03-09</v>
      </c>
      <c r="B14" s="1" t="str">
        <f>CLEAN("6999-03-79")</f>
        <v>6999-03-79</v>
      </c>
      <c r="C14" s="1">
        <v>2016</v>
      </c>
      <c r="D14" s="3">
        <v>42500</v>
      </c>
      <c r="E14" s="2" t="str">
        <f t="shared" si="0"/>
        <v>MARATHON</v>
      </c>
      <c r="F14" s="1" t="str">
        <f>CLEAN("STH-052")</f>
        <v>STH-052</v>
      </c>
      <c r="G14" s="1">
        <v>0.88</v>
      </c>
      <c r="H14" s="1" t="str">
        <f>CLEAN("C WAUSAU  HIGHWAY 52")</f>
        <v>C WAUSAU  HIGHWAY 52</v>
      </c>
      <c r="I14" s="1" t="str">
        <f>CLEAN("17TH AVENUE TO 1ST AVENUE")</f>
        <v>17TH AVENUE TO 1ST AVENUE</v>
      </c>
      <c r="J14" s="1" t="str">
        <f>CLEAN("CONST/RESURFACE")</f>
        <v>CONST/RESURFACE</v>
      </c>
    </row>
    <row r="15" spans="1:10" x14ac:dyDescent="0.25">
      <c r="A15" s="1" t="str">
        <f>CLEAN("6999-03-09")</f>
        <v>6999-03-09</v>
      </c>
      <c r="B15" s="1" t="str">
        <f>CLEAN("6999-03-80")</f>
        <v>6999-03-80</v>
      </c>
      <c r="C15" s="1">
        <v>2016</v>
      </c>
      <c r="D15" s="3">
        <v>42500</v>
      </c>
      <c r="E15" s="2" t="str">
        <f t="shared" si="0"/>
        <v>MARATHON</v>
      </c>
      <c r="F15" s="1" t="str">
        <f>CLEAN("STH-052")</f>
        <v>STH-052</v>
      </c>
      <c r="G15" s="1">
        <v>0.14000000000000001</v>
      </c>
      <c r="H15" s="1" t="str">
        <f>CLEAN("C WAUSAU  HIGHWAY 52")</f>
        <v>C WAUSAU  HIGHWAY 52</v>
      </c>
      <c r="I15" s="1" t="str">
        <f>CLEAN("1ST AVENUE TO FIRST STREET")</f>
        <v>1ST AVENUE TO FIRST STREET</v>
      </c>
      <c r="J15" s="1" t="str">
        <f>CLEAN("CONST/PAVEMENT REPLACEMENT")</f>
        <v>CONST/PAVEMENT REPLACEMENT</v>
      </c>
    </row>
    <row r="16" spans="1:10" x14ac:dyDescent="0.25">
      <c r="A16" s="1" t="str">
        <f>CLEAN("6999-03-09")</f>
        <v>6999-03-09</v>
      </c>
      <c r="B16" s="1" t="str">
        <f>CLEAN("6999-03-81")</f>
        <v>6999-03-81</v>
      </c>
      <c r="C16" s="1">
        <v>2016</v>
      </c>
      <c r="D16" s="3">
        <v>42500</v>
      </c>
      <c r="E16" s="2" t="str">
        <f t="shared" si="0"/>
        <v>MARATHON</v>
      </c>
      <c r="F16" s="1" t="str">
        <f>CLEAN("STH-052")</f>
        <v>STH-052</v>
      </c>
      <c r="G16" s="1">
        <v>0.11600000000000001</v>
      </c>
      <c r="H16" s="1" t="str">
        <f>CLEAN("C WAUSAU  HIGHWAY 52")</f>
        <v>C WAUSAU  HIGHWAY 52</v>
      </c>
      <c r="I16" s="1" t="str">
        <f>CLEAN("WISCONSIN RIVER TO MCCLELLAN ST  WB")</f>
        <v>WISCONSIN RIVER TO MCCLELLAN ST  WB</v>
      </c>
      <c r="J16" s="1" t="str">
        <f>CLEAN("CONST/PAVEMENT REPLACEMENT")</f>
        <v>CONST/PAVEMENT REPLACEMENT</v>
      </c>
    </row>
    <row r="17" spans="1:10" x14ac:dyDescent="0.25">
      <c r="A17" s="1" t="str">
        <f>CLEAN("1166-07-06")</f>
        <v>1166-07-06</v>
      </c>
      <c r="B17" s="1" t="str">
        <f>CLEAN("1166-07-76")</f>
        <v>1166-07-76</v>
      </c>
      <c r="C17" s="1">
        <v>2016</v>
      </c>
      <c r="D17" s="3">
        <v>42318</v>
      </c>
      <c r="E17" s="2" t="str">
        <f>CLEAN("MARQUETTE")</f>
        <v>MARQUETTE</v>
      </c>
      <c r="F17" s="1" t="str">
        <f>CLEAN("IH -039")</f>
        <v>IH -039</v>
      </c>
      <c r="G17" s="1">
        <v>12.237</v>
      </c>
      <c r="H17" s="1" t="str">
        <f>CLEAN("PACKWAUKEE - COLOMA")</f>
        <v>PACKWAUKEE - COLOMA</v>
      </c>
      <c r="I17" s="1" t="str">
        <f>CLEAN("B-39-76 10 26 27 28 29")</f>
        <v>B-39-76 10 26 27 28 29</v>
      </c>
      <c r="J17" s="1" t="str">
        <f>CLEAN("BRIDGE REPLACEMENT")</f>
        <v>BRIDGE REPLACEMENT</v>
      </c>
    </row>
    <row r="18" spans="1:10" ht="30" x14ac:dyDescent="0.25">
      <c r="A18" s="1" t="str">
        <f>CLEAN("1009-42-42")</f>
        <v>1009-42-42</v>
      </c>
      <c r="B18" s="1" t="str">
        <f>CLEAN("1009-42-43")</f>
        <v>1009-42-43</v>
      </c>
      <c r="C18" s="1">
        <v>2016</v>
      </c>
      <c r="D18" s="3">
        <v>42437</v>
      </c>
      <c r="E18" s="2" t="str">
        <f>CLEAN("REGION WIDE")</f>
        <v>REGION WIDE</v>
      </c>
      <c r="F18" s="1" t="str">
        <f>CLEAN("VAR-HWY")</f>
        <v>VAR-HWY</v>
      </c>
      <c r="G18" s="1">
        <v>0</v>
      </c>
      <c r="H18" s="1" t="str">
        <f>CLEAN("NC REGION  EPOXY PAVEMENT MARKING")</f>
        <v>NC REGION  EPOXY PAVEMENT MARKING</v>
      </c>
      <c r="I18" s="1" t="str">
        <f>CLEAN("LOCATIONS ON STN PER ANNUAL PLAN")</f>
        <v>LOCATIONS ON STN PER ANNUAL PLAN</v>
      </c>
      <c r="J18" s="1" t="str">
        <f>CLEAN("REGION WIDE/TRF OPS- PAVMT MARKING")</f>
        <v>REGION WIDE/TRF OPS- PAVMT MARKING</v>
      </c>
    </row>
    <row r="19" spans="1:10" ht="30" x14ac:dyDescent="0.25">
      <c r="A19" s="1" t="str">
        <f>CLEAN("1009-43-33")</f>
        <v>1009-43-33</v>
      </c>
      <c r="B19" s="1" t="str">
        <f>CLEAN("1009-43-63")</f>
        <v>1009-43-63</v>
      </c>
      <c r="C19" s="1">
        <v>2016</v>
      </c>
      <c r="D19" s="3">
        <v>42472</v>
      </c>
      <c r="E19" s="2" t="str">
        <f>CLEAN("REGION WIDE")</f>
        <v>REGION WIDE</v>
      </c>
      <c r="F19" s="1" t="str">
        <f>CLEAN("VAR-HWY")</f>
        <v>VAR-HWY</v>
      </c>
      <c r="G19" s="1">
        <v>0.19</v>
      </c>
      <c r="H19" s="1" t="str">
        <f>CLEAN("REGION WIDE CULVERT REPLACEMENT")</f>
        <v>REGION WIDE CULVERT REPLACEMENT</v>
      </c>
      <c r="I19" s="1" t="str">
        <f>CLEAN("VARIOUS HIGHWAYS")</f>
        <v>VARIOUS HIGHWAYS</v>
      </c>
      <c r="J19" s="1" t="str">
        <f>CLEAN("CONST/ROADWAY MAINTENANCE")</f>
        <v>CONST/ROADWAY MAINTENANCE</v>
      </c>
    </row>
    <row r="20" spans="1:10" x14ac:dyDescent="0.25">
      <c r="A20" s="1" t="str">
        <f>CLEAN("1177-11-00")</f>
        <v>1177-11-00</v>
      </c>
      <c r="B20" s="1" t="str">
        <f>CLEAN("1177-11-70")</f>
        <v>1177-11-70</v>
      </c>
      <c r="C20" s="1">
        <v>2016</v>
      </c>
      <c r="D20" s="3">
        <v>42381</v>
      </c>
      <c r="E20" s="2" t="str">
        <f>CLEAN("ONEIDA")</f>
        <v>ONEIDA</v>
      </c>
      <c r="F20" s="1" t="str">
        <f>CLEAN("USH-051")</f>
        <v>USH-051</v>
      </c>
      <c r="G20" s="1">
        <v>5.4</v>
      </c>
      <c r="H20" s="1" t="str">
        <f>CLEAN("TOMAHAWK - MINOCQUA")</f>
        <v>TOMAHAWK - MINOCQUA</v>
      </c>
      <c r="I20" s="1" t="str">
        <f>CLEAN("ROCKY RUN ROAD TO CTH Y")</f>
        <v>ROCKY RUN ROAD TO CTH Y</v>
      </c>
      <c r="J20" s="1" t="str">
        <f>CLEAN("CONST/RECONSTRUCT")</f>
        <v>CONST/RECONSTRUCT</v>
      </c>
    </row>
    <row r="21" spans="1:10" x14ac:dyDescent="0.25">
      <c r="A21" s="1" t="str">
        <f>CLEAN("1177-11-01")</f>
        <v>1177-11-01</v>
      </c>
      <c r="B21" s="1" t="str">
        <f>CLEAN("1177-11-71")</f>
        <v>1177-11-71</v>
      </c>
      <c r="C21" s="1">
        <v>2016</v>
      </c>
      <c r="D21" s="3">
        <v>42437</v>
      </c>
      <c r="E21" s="2" t="str">
        <f>CLEAN("ONEIDA")</f>
        <v>ONEIDA</v>
      </c>
      <c r="F21" s="1" t="str">
        <f>CLEAN("USH-051")</f>
        <v>USH-051</v>
      </c>
      <c r="G21" s="1">
        <v>0</v>
      </c>
      <c r="H21" s="1" t="str">
        <f>CLEAN("TOMAHAWK - MINOCQUA")</f>
        <v>TOMAHAWK - MINOCQUA</v>
      </c>
      <c r="I21" s="1" t="str">
        <f>CLEAN("BEARSKIN TRAIL STRUCTURE B-43-0060")</f>
        <v>BEARSKIN TRAIL STRUCTURE B-43-0060</v>
      </c>
      <c r="J21" s="1" t="str">
        <f>CLEAN("CONST/REPLACEMENT")</f>
        <v>CONST/REPLACEMENT</v>
      </c>
    </row>
    <row r="22" spans="1:10" x14ac:dyDescent="0.25">
      <c r="A22" s="1" t="str">
        <f>CLEAN("1590-12-32")</f>
        <v>1590-12-32</v>
      </c>
      <c r="B22" s="1" t="str">
        <f>CLEAN("1590-12-62")</f>
        <v>1590-12-62</v>
      </c>
      <c r="C22" s="1">
        <v>2016</v>
      </c>
      <c r="D22" s="3">
        <v>42500</v>
      </c>
      <c r="E22" s="2" t="str">
        <f>CLEAN("ONEIDA")</f>
        <v>ONEIDA</v>
      </c>
      <c r="F22" s="1" t="str">
        <f>CLEAN("USH-008")</f>
        <v>USH-008</v>
      </c>
      <c r="G22" s="1">
        <v>0.56999999999999995</v>
      </c>
      <c r="H22" s="1" t="str">
        <f>CLEAN("RHINELANDER - MONICO")</f>
        <v>RHINELANDER - MONICO</v>
      </c>
      <c r="I22" s="1" t="str">
        <f>CLEAN("STH 17 SOUTH &amp; CTH G INTERSECTIONS")</f>
        <v>STH 17 SOUTH &amp; CTH G INTERSECTIONS</v>
      </c>
      <c r="J22" s="1" t="str">
        <f>CLEAN("CONST/PREV MAINT APPRVD 3/26/14")</f>
        <v>CONST/PREV MAINT APPRVD 3/26/14</v>
      </c>
    </row>
    <row r="23" spans="1:10" x14ac:dyDescent="0.25">
      <c r="A23" s="1" t="str">
        <f>CLEAN("1166-00-31")</f>
        <v>1166-00-31</v>
      </c>
      <c r="B23" s="1" t="str">
        <f>CLEAN("1166-00-61")</f>
        <v>1166-00-61</v>
      </c>
      <c r="C23" s="1">
        <v>2016</v>
      </c>
      <c r="D23" s="3">
        <v>42346</v>
      </c>
      <c r="E23" s="2" t="str">
        <f t="shared" ref="E23:E30" si="1">CLEAN("PORTAGE")</f>
        <v>PORTAGE</v>
      </c>
      <c r="F23" s="1" t="str">
        <f>CLEAN("IH -039")</f>
        <v>IH -039</v>
      </c>
      <c r="G23" s="1">
        <v>11.186999999999999</v>
      </c>
      <c r="H23" s="1" t="str">
        <f>CLEAN("PLAINFIELD - STEVENS POINT")</f>
        <v>PLAINFIELD - STEVENS POINT</v>
      </c>
      <c r="I23" s="1" t="str">
        <f>CLEAN("B-49-7 8 9 10 42 43 44 45-49 50")</f>
        <v>B-49-7 8 9 10 42 43 44 45-49 50</v>
      </c>
      <c r="J23" s="1" t="str">
        <f>CLEAN("CONST/BRSHRM")</f>
        <v>CONST/BRSHRM</v>
      </c>
    </row>
    <row r="24" spans="1:10" x14ac:dyDescent="0.25">
      <c r="A24" s="1" t="str">
        <f>CLEAN("1166-06-10")</f>
        <v>1166-06-10</v>
      </c>
      <c r="B24" s="1" t="str">
        <f>CLEAN("1166-06-80")</f>
        <v>1166-06-80</v>
      </c>
      <c r="C24" s="1">
        <v>2016</v>
      </c>
      <c r="D24" s="3">
        <v>42381</v>
      </c>
      <c r="E24" s="2" t="str">
        <f t="shared" si="1"/>
        <v>PORTAGE</v>
      </c>
      <c r="F24" s="1" t="str">
        <f>CLEAN("IH -039")</f>
        <v>IH -039</v>
      </c>
      <c r="G24" s="1">
        <v>0.42</v>
      </c>
      <c r="H24" s="1" t="str">
        <f>CLEAN("PLAINFIELD - STEVENS POINT")</f>
        <v>PLAINFIELD - STEVENS POINT</v>
      </c>
      <c r="I24" s="1" t="str">
        <f>CLEAN("B-49-18 19 22 23")</f>
        <v>B-49-18 19 22 23</v>
      </c>
      <c r="J24" s="1" t="str">
        <f>CLEAN("CONST/BRIDGE REHAB")</f>
        <v>CONST/BRIDGE REHAB</v>
      </c>
    </row>
    <row r="25" spans="1:10" x14ac:dyDescent="0.25">
      <c r="A25" s="1" t="str">
        <f>CLEAN("1166-08-03")</f>
        <v>1166-08-03</v>
      </c>
      <c r="B25" s="1" t="str">
        <f>CLEAN("1166-08-73")</f>
        <v>1166-08-73</v>
      </c>
      <c r="C25" s="1">
        <v>2016</v>
      </c>
      <c r="D25" s="3">
        <v>42381</v>
      </c>
      <c r="E25" s="2" t="str">
        <f t="shared" si="1"/>
        <v>PORTAGE</v>
      </c>
      <c r="F25" s="1" t="str">
        <f>CLEAN("IH -039")</f>
        <v>IH -039</v>
      </c>
      <c r="G25" s="1">
        <v>0.35</v>
      </c>
      <c r="H25" s="1" t="str">
        <f>CLEAN("PLAINFIELD - STEVENS POINT")</f>
        <v>PLAINFIELD - STEVENS POINT</v>
      </c>
      <c r="I25" s="1" t="str">
        <f>CLEAN("STANLEY STREET BRIDGE B-49-29 30")</f>
        <v>STANLEY STREET BRIDGE B-49-29 30</v>
      </c>
      <c r="J25" s="1" t="str">
        <f>CLEAN("BRIDGE REHAB")</f>
        <v>BRIDGE REHAB</v>
      </c>
    </row>
    <row r="26" spans="1:10" x14ac:dyDescent="0.25">
      <c r="A26" s="1" t="str">
        <f>CLEAN("1520-02-01")</f>
        <v>1520-02-01</v>
      </c>
      <c r="B26" s="1" t="str">
        <f>CLEAN("1520-02-71")</f>
        <v>1520-02-71</v>
      </c>
      <c r="C26" s="1">
        <v>2016</v>
      </c>
      <c r="D26" s="3">
        <v>42500</v>
      </c>
      <c r="E26" s="2" t="str">
        <f t="shared" si="1"/>
        <v>PORTAGE</v>
      </c>
      <c r="F26" s="1" t="str">
        <f>CLEAN("STH-054")</f>
        <v>STH-054</v>
      </c>
      <c r="G26" s="1">
        <v>0.54500000000000004</v>
      </c>
      <c r="H26" s="1" t="str">
        <f>CLEAN("WISCONSIN RAPIDS - PLOVER")</f>
        <v>WISCONSIN RAPIDS - PLOVER</v>
      </c>
      <c r="I26" s="1" t="str">
        <f>CLEAN("STH 54 &amp; CTH U INTERSECTION")</f>
        <v>STH 54 &amp; CTH U INTERSECTION</v>
      </c>
      <c r="J26" s="1" t="str">
        <f>CLEAN("HSIP/PORTAGE &amp; WOOD COUNTIES")</f>
        <v>HSIP/PORTAGE &amp; WOOD COUNTIES</v>
      </c>
    </row>
    <row r="27" spans="1:10" x14ac:dyDescent="0.25">
      <c r="A27" s="1" t="str">
        <f>CLEAN("6270-00-32")</f>
        <v>6270-00-32</v>
      </c>
      <c r="B27" s="1" t="str">
        <f>CLEAN("6270-00-62")</f>
        <v>6270-00-62</v>
      </c>
      <c r="C27" s="1">
        <v>2016</v>
      </c>
      <c r="D27" s="3">
        <v>42437</v>
      </c>
      <c r="E27" s="2" t="str">
        <f t="shared" si="1"/>
        <v>PORTAGE</v>
      </c>
      <c r="F27" s="1" t="str">
        <f>CLEAN("STH-049")</f>
        <v>STH-049</v>
      </c>
      <c r="G27" s="1">
        <v>1.91</v>
      </c>
      <c r="H27" s="1" t="str">
        <f>CLEAN("NORTHLAND - STH 29")</f>
        <v>NORTHLAND - STH 29</v>
      </c>
      <c r="I27" s="1" t="str">
        <f>CLEAN("CEDAR ROAD TO LAKE VIEW ROAD")</f>
        <v>CEDAR ROAD TO LAKE VIEW ROAD</v>
      </c>
      <c r="J27" s="1" t="str">
        <f>CLEAN("CONST/PREV MAINT APPROVAL 6/1/11")</f>
        <v>CONST/PREV MAINT APPROVAL 6/1/11</v>
      </c>
    </row>
    <row r="28" spans="1:10" x14ac:dyDescent="0.25">
      <c r="A28" s="1" t="str">
        <f>CLEAN("6280-05-31")</f>
        <v>6280-05-31</v>
      </c>
      <c r="B28" s="1" t="str">
        <f>CLEAN("6280-05-81")</f>
        <v>6280-05-81</v>
      </c>
      <c r="C28" s="1">
        <v>2016</v>
      </c>
      <c r="D28" s="3">
        <v>42381</v>
      </c>
      <c r="E28" s="2" t="str">
        <f t="shared" si="1"/>
        <v>PORTAGE</v>
      </c>
      <c r="F28" s="1" t="str">
        <f>CLEAN("STH-066")</f>
        <v>STH-066</v>
      </c>
      <c r="G28" s="1">
        <v>3.339</v>
      </c>
      <c r="H28" s="1" t="str">
        <f>CLEAN("STEVENS POINT - STH 49")</f>
        <v>STEVENS POINT - STH 49</v>
      </c>
      <c r="I28" s="1" t="str">
        <f>CLEAN("DEER LANE TO E JCT CTH J")</f>
        <v>DEER LANE TO E JCT CTH J</v>
      </c>
      <c r="J28" s="1" t="str">
        <f>CLEAN("CONST/RESURFACE")</f>
        <v>CONST/RESURFACE</v>
      </c>
    </row>
    <row r="29" spans="1:10" x14ac:dyDescent="0.25">
      <c r="A29" s="1" t="str">
        <f>CLEAN("6414-00-08")</f>
        <v>6414-00-08</v>
      </c>
      <c r="B29" s="1" t="str">
        <f>CLEAN("6414-00-78")</f>
        <v>6414-00-78</v>
      </c>
      <c r="C29" s="1">
        <v>2016</v>
      </c>
      <c r="D29" s="3">
        <v>42346</v>
      </c>
      <c r="E29" s="2" t="str">
        <f t="shared" si="1"/>
        <v>PORTAGE</v>
      </c>
      <c r="F29" s="1" t="str">
        <f>CLEAN("BUS-051")</f>
        <v>BUS-051</v>
      </c>
      <c r="G29" s="1">
        <v>1.1200000000000001</v>
      </c>
      <c r="H29" s="1" t="str">
        <f>CLEAN("VILLAGE OF PLOVER  POST ROAD")</f>
        <v>VILLAGE OF PLOVER  POST ROAD</v>
      </c>
      <c r="I29" s="1" t="str">
        <f>CLEAN("GREEN DRIVE TO SPRINGVILLE DRIVE")</f>
        <v>GREEN DRIVE TO SPRINGVILLE DRIVE</v>
      </c>
      <c r="J29" s="1" t="str">
        <f>CLEAN("JT RECONSTRUCTION")</f>
        <v>JT RECONSTRUCTION</v>
      </c>
    </row>
    <row r="30" spans="1:10" x14ac:dyDescent="0.25">
      <c r="A30" s="1" t="str">
        <f>CLEAN("6414-00-08")</f>
        <v>6414-00-08</v>
      </c>
      <c r="B30" s="1" t="str">
        <f>CLEAN("6414-00-88")</f>
        <v>6414-00-88</v>
      </c>
      <c r="C30" s="1">
        <v>2016</v>
      </c>
      <c r="D30" s="3">
        <v>42346</v>
      </c>
      <c r="E30" s="2" t="str">
        <f t="shared" si="1"/>
        <v>PORTAGE</v>
      </c>
      <c r="F30" s="1" t="str">
        <f>CLEAN("BUS-051")</f>
        <v>BUS-051</v>
      </c>
      <c r="G30" s="1">
        <v>1.1200000000000001</v>
      </c>
      <c r="H30" s="1" t="str">
        <f>CLEAN("VILLAGE OF PLOVER  POST ROAD")</f>
        <v>VILLAGE OF PLOVER  POST ROAD</v>
      </c>
      <c r="I30" s="1" t="str">
        <f>CLEAN("GREEN DRIVE TO SPRINGVILLE DRIVE")</f>
        <v>GREEN DRIVE TO SPRINGVILLE DRIVE</v>
      </c>
      <c r="J30" s="1" t="str">
        <f>CLEAN("LOCAL UTILITIES")</f>
        <v>LOCAL UTILITIES</v>
      </c>
    </row>
    <row r="31" spans="1:10" x14ac:dyDescent="0.25">
      <c r="A31" s="1" t="str">
        <f>CLEAN("1058-20-01")</f>
        <v>1058-20-01</v>
      </c>
      <c r="B31" s="1" t="str">
        <f>CLEAN("1058-20-71")</f>
        <v>1058-20-71</v>
      </c>
      <c r="C31" s="1">
        <v>2016</v>
      </c>
      <c r="D31" s="3">
        <v>42472</v>
      </c>
      <c r="E31" s="2" t="str">
        <f>CLEAN("SHAWANO")</f>
        <v>SHAWANO</v>
      </c>
      <c r="F31" s="1" t="str">
        <f>CLEAN("STH-029")</f>
        <v>STH-029</v>
      </c>
      <c r="G31" s="1">
        <v>0.68500000000000005</v>
      </c>
      <c r="H31" s="1" t="str">
        <f>CLEAN("WITTENBERG - SHAWANO")</f>
        <v>WITTENBERG - SHAWANO</v>
      </c>
      <c r="I31" s="1" t="str">
        <f>CLEAN("CTH D TO CAMPGROUND ROAD")</f>
        <v>CTH D TO CAMPGROUND ROAD</v>
      </c>
      <c r="J31" s="1" t="str">
        <f>CLEAN("CONST/CABLE BARRIER")</f>
        <v>CONST/CABLE BARRIER</v>
      </c>
    </row>
    <row r="32" spans="1:10" x14ac:dyDescent="0.25">
      <c r="A32" s="1" t="str">
        <f>CLEAN("1058-21-00")</f>
        <v>1058-21-00</v>
      </c>
      <c r="B32" s="1" t="str">
        <f>CLEAN("1058-21-70")</f>
        <v>1058-21-70</v>
      </c>
      <c r="C32" s="1">
        <v>2016</v>
      </c>
      <c r="D32" s="3">
        <v>42472</v>
      </c>
      <c r="E32" s="2" t="str">
        <f>CLEAN("SHAWANO")</f>
        <v>SHAWANO</v>
      </c>
      <c r="F32" s="1" t="str">
        <f>CLEAN("STH-029")</f>
        <v>STH-029</v>
      </c>
      <c r="G32" s="1">
        <v>0.28399999999999997</v>
      </c>
      <c r="H32" s="1" t="str">
        <f>CLEAN("WITTENBERG - SHAWANO")</f>
        <v>WITTENBERG - SHAWANO</v>
      </c>
      <c r="I32" s="1" t="str">
        <f>CLEAN("EMBARRASS RIVER BRIDGE B-58-0128")</f>
        <v>EMBARRASS RIVER BRIDGE B-58-0128</v>
      </c>
      <c r="J32" s="1" t="str">
        <f>CLEAN("CONST/REPLACEMENT")</f>
        <v>CONST/REPLACEMENT</v>
      </c>
    </row>
    <row r="33" spans="1:10" x14ac:dyDescent="0.25">
      <c r="A33" s="1" t="str">
        <f>CLEAN("6243-07-00")</f>
        <v>6243-07-00</v>
      </c>
      <c r="B33" s="1" t="str">
        <f>CLEAN("6243-07-70")</f>
        <v>6243-07-70</v>
      </c>
      <c r="C33" s="1">
        <v>2016</v>
      </c>
      <c r="D33" s="3">
        <v>42500</v>
      </c>
      <c r="E33" s="2" t="str">
        <f>CLEAN("SHAWANO")</f>
        <v>SHAWANO</v>
      </c>
      <c r="F33" s="1" t="str">
        <f>CLEAN("STH-047")</f>
        <v>STH-047</v>
      </c>
      <c r="G33" s="1">
        <v>0.22</v>
      </c>
      <c r="H33" s="1" t="str">
        <f>CLEAN("CITY OF SHAWANO  AIRPORT DRIVE")</f>
        <v>CITY OF SHAWANO  AIRPORT DRIVE</v>
      </c>
      <c r="I33" s="1" t="str">
        <f>CLEAN("STH 29 TO CTH B")</f>
        <v>STH 29 TO CTH B</v>
      </c>
      <c r="J33" s="1" t="str">
        <f>CLEAN("CONST/PAVEMENT REPLACEMENT")</f>
        <v>CONST/PAVEMENT REPLACEMENT</v>
      </c>
    </row>
    <row r="34" spans="1:10" x14ac:dyDescent="0.25">
      <c r="A34" s="1" t="str">
        <f>CLEAN("6243-07-01")</f>
        <v>6243-07-01</v>
      </c>
      <c r="B34" s="1" t="str">
        <f>CLEAN("6243-07-71")</f>
        <v>6243-07-71</v>
      </c>
      <c r="C34" s="1">
        <v>2016</v>
      </c>
      <c r="D34" s="3">
        <v>42500</v>
      </c>
      <c r="E34" s="2" t="str">
        <f>CLEAN("SHAWANO")</f>
        <v>SHAWANO</v>
      </c>
      <c r="F34" s="1" t="str">
        <f>CLEAN("STH-047")</f>
        <v>STH-047</v>
      </c>
      <c r="G34" s="1">
        <v>1.52</v>
      </c>
      <c r="H34" s="1" t="str">
        <f>CLEAN("CITY OF SHAWANO  AIRPORT DRIVE")</f>
        <v>CITY OF SHAWANO  AIRPORT DRIVE</v>
      </c>
      <c r="I34" s="1" t="str">
        <f>CLEAN("CTH B TO STH 22")</f>
        <v>CTH B TO STH 22</v>
      </c>
      <c r="J34" s="1" t="str">
        <f>CLEAN("CONST/PAVEMENT REPLACEMENT")</f>
        <v>CONST/PAVEMENT REPLACEMENT</v>
      </c>
    </row>
    <row r="35" spans="1:10" x14ac:dyDescent="0.25">
      <c r="A35" s="1" t="str">
        <f>CLEAN("6220-04-05")</f>
        <v>6220-04-05</v>
      </c>
      <c r="B35" s="1" t="str">
        <f>CLEAN("6220-04-75")</f>
        <v>6220-04-75</v>
      </c>
      <c r="C35" s="1">
        <v>2016</v>
      </c>
      <c r="D35" s="3">
        <v>42500</v>
      </c>
      <c r="E35" s="2" t="str">
        <f>CLEAN("WAUPACA")</f>
        <v>WAUPACA</v>
      </c>
      <c r="F35" s="1" t="str">
        <f>CLEAN("STH-054")</f>
        <v>STH-054</v>
      </c>
      <c r="G35" s="1">
        <v>5.3330000000000002</v>
      </c>
      <c r="H35" s="1" t="str">
        <f>CLEAN("WAUPACA - NEW LONDON")</f>
        <v>WAUPACA - NEW LONDON</v>
      </c>
      <c r="I35" s="1" t="str">
        <f>CLEAN("ROYALTON OVERHEAD TO JEANNE STREET")</f>
        <v>ROYALTON OVERHEAD TO JEANNE STREET</v>
      </c>
      <c r="J35" s="1" t="str">
        <f>CLEAN("CONST/RECOND/HSIP")</f>
        <v>CONST/RECOND/HSIP</v>
      </c>
    </row>
    <row r="36" spans="1:10" x14ac:dyDescent="0.25">
      <c r="A36" s="1" t="str">
        <f>CLEAN("6430-07-30")</f>
        <v>6430-07-30</v>
      </c>
      <c r="B36" s="1" t="str">
        <f>CLEAN("6430-07-60")</f>
        <v>6430-07-60</v>
      </c>
      <c r="C36" s="1">
        <v>2016</v>
      </c>
      <c r="D36" s="3">
        <v>42472</v>
      </c>
      <c r="E36" s="2" t="str">
        <f>CLEAN("WAUPACA")</f>
        <v>WAUPACA</v>
      </c>
      <c r="F36" s="1" t="str">
        <f>CLEAN("USH-045")</f>
        <v>USH-045</v>
      </c>
      <c r="G36" s="1">
        <v>6.02</v>
      </c>
      <c r="H36" s="1" t="str">
        <f>CLEAN("WINCHESTER - NEW LONDON")</f>
        <v>WINCHESTER - NEW LONDON</v>
      </c>
      <c r="I36" s="1" t="str">
        <f>CLEAN("CTH W TO CTH D")</f>
        <v>CTH W TO CTH D</v>
      </c>
      <c r="J36" s="1" t="str">
        <f>CLEAN("CONSTR/PVMT MNT/ APPROVED 2.26.13")</f>
        <v>CONSTR/PVMT MNT/ APPROVED 2.26.13</v>
      </c>
    </row>
    <row r="37" spans="1:10" x14ac:dyDescent="0.25">
      <c r="A37" s="1" t="str">
        <f>CLEAN("1009-44-65")</f>
        <v>1009-44-65</v>
      </c>
      <c r="B37" s="1" t="str">
        <f>CLEAN("1009-44-66")</f>
        <v>1009-44-66</v>
      </c>
      <c r="C37" s="1">
        <v>2016</v>
      </c>
      <c r="D37" s="3">
        <v>42500</v>
      </c>
      <c r="E37" s="2" t="str">
        <f>CLEAN("WAUSHARA")</f>
        <v>WAUSHARA</v>
      </c>
      <c r="F37" s="1" t="str">
        <f>CLEAN("VAR-HWY")</f>
        <v>VAR-HWY</v>
      </c>
      <c r="G37" s="1">
        <v>0.255</v>
      </c>
      <c r="H37" s="1" t="str">
        <f>CLEAN("NC REGION INTERSECTION IMPROVEMENTS")</f>
        <v>NC REGION INTERSECTION IMPROVEMENTS</v>
      </c>
      <c r="I37" s="1" t="str">
        <f>CLEAN("REGIONWIDE OSOW MITIGATION ROUTES")</f>
        <v>REGIONWIDE OSOW MITIGATION ROUTES</v>
      </c>
      <c r="J37" s="1" t="str">
        <f>CLEAN("FREIGHT MITIGATION")</f>
        <v>FREIGHT MITIGATION</v>
      </c>
    </row>
    <row r="38" spans="1:10" x14ac:dyDescent="0.25">
      <c r="A38" s="1" t="str">
        <f>CLEAN("6350-01-32")</f>
        <v>6350-01-32</v>
      </c>
      <c r="B38" s="1" t="str">
        <f>CLEAN("6350-01-62")</f>
        <v>6350-01-62</v>
      </c>
      <c r="C38" s="1">
        <v>2016</v>
      </c>
      <c r="D38" s="3">
        <v>42437</v>
      </c>
      <c r="E38" s="2" t="str">
        <f>CLEAN("WOOD")</f>
        <v>WOOD</v>
      </c>
      <c r="F38" s="1" t="str">
        <f>CLEAN("USH-010")</f>
        <v>USH-010</v>
      </c>
      <c r="G38" s="1">
        <v>0.34</v>
      </c>
      <c r="H38" s="1" t="str">
        <f>CLEAN("MARSHFIELD - JUNCTION CITY")</f>
        <v>MARSHFIELD - JUNCTION CITY</v>
      </c>
      <c r="I38" s="1" t="str">
        <f>CLEAN("WCL RR BRIDGE B-71-39")</f>
        <v>WCL RR BRIDGE B-71-39</v>
      </c>
      <c r="J38" s="1" t="str">
        <f>CLEAN("PREVENTATIVE MAINTENANCE  06/17/08")</f>
        <v>PREVENTATIVE MAINTENANCE  06/17/08</v>
      </c>
    </row>
    <row r="39" spans="1:10" x14ac:dyDescent="0.25">
      <c r="A39" s="1" t="str">
        <f>CLEAN("6350-07-02")</f>
        <v>6350-07-02</v>
      </c>
      <c r="B39" s="1" t="str">
        <f>CLEAN("6350-07-88")</f>
        <v>6350-07-88</v>
      </c>
      <c r="C39" s="1">
        <v>2016</v>
      </c>
      <c r="D39" s="3">
        <v>42437</v>
      </c>
      <c r="E39" s="2" t="str">
        <f>CLEAN("WOOD")</f>
        <v>WOOD</v>
      </c>
      <c r="F39" s="1" t="str">
        <f>CLEAN("CTH-P")</f>
        <v>CTH-P</v>
      </c>
      <c r="G39" s="1">
        <v>1.6559999999999999</v>
      </c>
      <c r="H39" s="1" t="str">
        <f>CLEAN("MARSHFIELD - STEVENS POINT")</f>
        <v>MARSHFIELD - STEVENS POINT</v>
      </c>
      <c r="I39" s="1" t="str">
        <f>CLEAN("CTH P REALIGNMENT  V OF AUBURNDALE")</f>
        <v>CTH P REALIGNMENT  V OF AUBURNDALE</v>
      </c>
      <c r="J39" s="1" t="str">
        <f>CLEAN("JT LET/CTH P REALIGNMENT")</f>
        <v>JT LET/CTH P REALIGNMENT</v>
      </c>
    </row>
    <row r="40" spans="1:10" x14ac:dyDescent="0.25">
      <c r="A40" s="1" t="str">
        <f>CLEAN("6350-07-07")</f>
        <v>6350-07-07</v>
      </c>
      <c r="B40" s="1" t="str">
        <f>CLEAN("6350-07-77")</f>
        <v>6350-07-77</v>
      </c>
      <c r="C40" s="1">
        <v>2016</v>
      </c>
      <c r="D40" s="3">
        <v>42437</v>
      </c>
      <c r="E40" s="2" t="str">
        <f>CLEAN("WOOD")</f>
        <v>WOOD</v>
      </c>
      <c r="F40" s="1" t="str">
        <f>CLEAN("USH-010")</f>
        <v>USH-010</v>
      </c>
      <c r="G40" s="1">
        <v>2.3460000000000001</v>
      </c>
      <c r="H40" s="1" t="str">
        <f>CLEAN("MARSHFIELD - STEVENS POINT")</f>
        <v>MARSHFIELD - STEVENS POINT</v>
      </c>
      <c r="I40" s="1" t="str">
        <f>CLEAN("WCL RR TO CTH F  V OF AUBURNDALE")</f>
        <v>WCL RR TO CTH F  V OF AUBURNDALE</v>
      </c>
      <c r="J40" s="1" t="str">
        <f>CLEAN("JT LET")</f>
        <v>JT LET</v>
      </c>
    </row>
    <row r="41" spans="1:10" x14ac:dyDescent="0.25">
      <c r="A41" s="1" t="str">
        <f>CLEAN("6350-07-07")</f>
        <v>6350-07-07</v>
      </c>
      <c r="B41" s="1" t="str">
        <f>CLEAN("6350-07-80")</f>
        <v>6350-07-80</v>
      </c>
      <c r="C41" s="1">
        <v>2016</v>
      </c>
      <c r="D41" s="3">
        <v>42563</v>
      </c>
      <c r="E41" s="2" t="str">
        <f>CLEAN("WOOD")</f>
        <v>WOOD</v>
      </c>
      <c r="F41" s="1" t="str">
        <f>CLEAN("USH-010")</f>
        <v>USH-010</v>
      </c>
      <c r="G41" s="1">
        <v>0.66900000000000004</v>
      </c>
      <c r="H41" s="1" t="str">
        <f>CLEAN("MARSHFIELD - STEVENS POINT")</f>
        <v>MARSHFIELD - STEVENS POINT</v>
      </c>
      <c r="I41" s="1" t="str">
        <f>CLEAN("WCL RR PEDESTRIAN UNDERPASS")</f>
        <v>WCL RR PEDESTRIAN UNDERPASS</v>
      </c>
      <c r="J41" s="1" t="str">
        <f>CLEAN("JT LET")</f>
        <v>JT LET</v>
      </c>
    </row>
    <row r="42" spans="1:10" x14ac:dyDescent="0.25">
      <c r="A42" s="1" t="str">
        <f>CLEAN("6350-07-07")</f>
        <v>6350-07-07</v>
      </c>
      <c r="B42" s="1" t="str">
        <f>CLEAN("6350-07-87")</f>
        <v>6350-07-87</v>
      </c>
      <c r="C42" s="1">
        <v>2016</v>
      </c>
      <c r="D42" s="3">
        <v>42437</v>
      </c>
      <c r="E42" s="2" t="str">
        <f>CLEAN("WOOD")</f>
        <v>WOOD</v>
      </c>
      <c r="F42" s="1" t="str">
        <f>CLEAN("CTH-P")</f>
        <v>CTH-P</v>
      </c>
      <c r="G42" s="1">
        <v>0.21099999999999999</v>
      </c>
      <c r="H42" s="1" t="str">
        <f>CLEAN("MARSHFIELD - STEVENS POINT")</f>
        <v>MARSHFIELD - STEVENS POINT</v>
      </c>
      <c r="I42" s="1" t="str">
        <f>CLEAN("WCL RR TO CTH F  V OF AUBURNDALE")</f>
        <v>WCL RR TO CTH F  V OF AUBURNDALE</v>
      </c>
      <c r="J42" s="1" t="str">
        <f>CLEAN("JT LET/LOCAL UTILITY MOVES")</f>
        <v>JT LET/LOCAL UTILITY MOVES</v>
      </c>
    </row>
    <row r="43" spans="1:10" x14ac:dyDescent="0.25">
      <c r="D43" s="3"/>
    </row>
    <row r="44" spans="1:10" x14ac:dyDescent="0.25">
      <c r="A44" s="1" t="str">
        <f>CLEAN("9120-09-00")</f>
        <v>9120-09-00</v>
      </c>
      <c r="B44" s="1" t="str">
        <f>CLEAN("9120-09-70")</f>
        <v>9120-09-70</v>
      </c>
      <c r="C44" s="1">
        <v>2017</v>
      </c>
      <c r="D44" s="3">
        <v>42864</v>
      </c>
      <c r="E44" s="2" t="str">
        <f>CLEAN("FLORENCE")</f>
        <v>FLORENCE</v>
      </c>
      <c r="F44" s="1" t="str">
        <f>CLEAN("USH-002")</f>
        <v>USH-002</v>
      </c>
      <c r="G44" s="1">
        <v>9.09</v>
      </c>
      <c r="H44" s="1" t="str">
        <f>CLEAN("BRULE RIVER - IRON MOUNTAIN")</f>
        <v>BRULE RIVER - IRON MOUNTAIN</v>
      </c>
      <c r="I44" s="1" t="str">
        <f>CLEAN("CTH NN TO MICHIGAN STATE LINE")</f>
        <v>CTH NN TO MICHIGAN STATE LINE</v>
      </c>
      <c r="J44" s="1" t="str">
        <f>CLEAN("CONST/RESURFACE")</f>
        <v>CONST/RESURFACE</v>
      </c>
    </row>
    <row r="45" spans="1:10" x14ac:dyDescent="0.25">
      <c r="A45" s="1" t="str">
        <f>CLEAN("1175-19-00")</f>
        <v>1175-19-00</v>
      </c>
      <c r="B45" s="1" t="str">
        <f>CLEAN("1175-19-70")</f>
        <v>1175-19-70</v>
      </c>
      <c r="C45" s="1">
        <v>2017</v>
      </c>
      <c r="D45" s="3">
        <v>42780</v>
      </c>
      <c r="E45" s="2" t="str">
        <f>CLEAN("IRON")</f>
        <v>IRON</v>
      </c>
      <c r="F45" s="1" t="str">
        <f>CLEAN("USH-051")</f>
        <v>USH-051</v>
      </c>
      <c r="G45" s="1">
        <v>0.05</v>
      </c>
      <c r="H45" s="1" t="str">
        <f>CLEAN("MANITOWISH - HURLEY")</f>
        <v>MANITOWISH - HURLEY</v>
      </c>
      <c r="I45" s="1" t="str">
        <f>CLEAN("WEBER CREEK BRIDGE  B-26-0038")</f>
        <v>WEBER CREEK BRIDGE  B-26-0038</v>
      </c>
      <c r="J45" s="1" t="str">
        <f>CLEAN("CONST/BRIDGE REPLACEMENT")</f>
        <v>CONST/BRIDGE REPLACEMENT</v>
      </c>
    </row>
    <row r="46" spans="1:10" x14ac:dyDescent="0.25">
      <c r="A46" s="1" t="str">
        <f>CLEAN("1175-19-30")</f>
        <v>1175-19-30</v>
      </c>
      <c r="B46" s="1" t="str">
        <f>CLEAN("1175-19-60")</f>
        <v>1175-19-60</v>
      </c>
      <c r="C46" s="1">
        <v>2017</v>
      </c>
      <c r="D46" s="3">
        <v>42682</v>
      </c>
      <c r="E46" s="2" t="str">
        <f>CLEAN("IRON")</f>
        <v>IRON</v>
      </c>
      <c r="F46" s="1" t="str">
        <f>CLEAN("USH-051")</f>
        <v>USH-051</v>
      </c>
      <c r="G46" s="1">
        <v>12.02</v>
      </c>
      <c r="H46" s="1" t="str">
        <f>CLEAN("MANITOWISH - HURLEY")</f>
        <v>MANITOWISH - HURLEY</v>
      </c>
      <c r="I46" s="1" t="str">
        <f>CLEAN("WEBER ROAD TO CTH C")</f>
        <v>WEBER ROAD TO CTH C</v>
      </c>
      <c r="J46" s="1" t="str">
        <f>CLEAN("CONST/PREV MAINT APPROVAL 6/1/11")</f>
        <v>CONST/PREV MAINT APPROVAL 6/1/11</v>
      </c>
    </row>
    <row r="47" spans="1:10" x14ac:dyDescent="0.25">
      <c r="A47" s="1" t="str">
        <f>CLEAN("1185-02-31")</f>
        <v>1185-02-31</v>
      </c>
      <c r="B47" s="1" t="str">
        <f>CLEAN("1185-02-61")</f>
        <v>1185-02-61</v>
      </c>
      <c r="C47" s="1">
        <v>2017</v>
      </c>
      <c r="D47" s="3">
        <v>42682</v>
      </c>
      <c r="E47" s="2" t="str">
        <f>CLEAN("IRON")</f>
        <v>IRON</v>
      </c>
      <c r="F47" s="1" t="str">
        <f>CLEAN("USH-002")</f>
        <v>USH-002</v>
      </c>
      <c r="G47" s="1">
        <v>8.4339999999999993</v>
      </c>
      <c r="H47" s="1" t="str">
        <f>CLEAN("ASHLAND - HURLEY")</f>
        <v>ASHLAND - HURLEY</v>
      </c>
      <c r="I47" s="1" t="str">
        <f>CLEAN("ASHLAND COUNTY LINE TO CTH B")</f>
        <v>ASHLAND COUNTY LINE TO CTH B</v>
      </c>
      <c r="J47" s="1" t="str">
        <f>CLEAN("CONST/PREV MAINT APPRVL 2/10/15")</f>
        <v>CONST/PREV MAINT APPRVL 2/10/15</v>
      </c>
    </row>
    <row r="48" spans="1:10" x14ac:dyDescent="0.25">
      <c r="A48" s="1" t="str">
        <f>CLEAN("9231-08-30")</f>
        <v>9231-08-30</v>
      </c>
      <c r="B48" s="1" t="str">
        <f>CLEAN("9231-08-70")</f>
        <v>9231-08-70</v>
      </c>
      <c r="C48" s="1">
        <v>2017</v>
      </c>
      <c r="D48" s="3">
        <v>42682</v>
      </c>
      <c r="E48" s="2" t="str">
        <f>CLEAN("IRON")</f>
        <v>IRON</v>
      </c>
      <c r="F48" s="1" t="str">
        <f>CLEAN("STH-047")</f>
        <v>STH-047</v>
      </c>
      <c r="G48" s="1">
        <v>8.65</v>
      </c>
      <c r="H48" s="1" t="str">
        <f>CLEAN("WOODRUFF - MANITOWISH")</f>
        <v>WOODRUFF - MANITOWISH</v>
      </c>
      <c r="I48" s="1" t="str">
        <f>CLEAN("LOWER SUGARBUSH LANE TO USH 51")</f>
        <v>LOWER SUGARBUSH LANE TO USH 51</v>
      </c>
      <c r="J48" s="1" t="str">
        <f>CLEAN("CONST/RESURFACE")</f>
        <v>CONST/RESURFACE</v>
      </c>
    </row>
    <row r="49" spans="1:10" x14ac:dyDescent="0.25">
      <c r="A49" s="1" t="str">
        <f>CLEAN("9000-04-00")</f>
        <v>9000-04-00</v>
      </c>
      <c r="B49" s="1" t="str">
        <f>CLEAN("9000-04-70")</f>
        <v>9000-04-70</v>
      </c>
      <c r="C49" s="1">
        <v>2017</v>
      </c>
      <c r="D49" s="3">
        <v>42927</v>
      </c>
      <c r="E49" s="2" t="str">
        <f>CLEAN("LINCOLN")</f>
        <v>LINCOLN</v>
      </c>
      <c r="F49" s="1" t="str">
        <f>CLEAN("STH-064")</f>
        <v>STH-064</v>
      </c>
      <c r="G49" s="1">
        <v>0.42</v>
      </c>
      <c r="H49" s="1" t="str">
        <f>CLEAN("MERRILL - ANTIGO")</f>
        <v>MERRILL - ANTIGO</v>
      </c>
      <c r="I49" s="1" t="str">
        <f>CLEAN("PINE RIVER BRIDGE  B-35-0117")</f>
        <v>PINE RIVER BRIDGE  B-35-0117</v>
      </c>
      <c r="J49" s="1" t="str">
        <f>CLEAN("CONST/BRIDGE REPLACEMENT")</f>
        <v>CONST/BRIDGE REPLACEMENT</v>
      </c>
    </row>
    <row r="50" spans="1:10" x14ac:dyDescent="0.25">
      <c r="A50" s="1" t="str">
        <f>CLEAN("9030-03-00")</f>
        <v>9030-03-00</v>
      </c>
      <c r="B50" s="1" t="str">
        <f>CLEAN("9030-03-70")</f>
        <v>9030-03-70</v>
      </c>
      <c r="C50" s="1">
        <v>2017</v>
      </c>
      <c r="D50" s="3">
        <v>42682</v>
      </c>
      <c r="E50" s="2" t="str">
        <f>CLEAN("LINCOLN")</f>
        <v>LINCOLN</v>
      </c>
      <c r="F50" s="1" t="str">
        <f>CLEAN("STH-017")</f>
        <v>STH-017</v>
      </c>
      <c r="G50" s="1">
        <v>7.9809999999999999</v>
      </c>
      <c r="H50" s="1" t="str">
        <f>CLEAN("MERRILL - RHINELANDER")</f>
        <v>MERRILL - RHINELANDER</v>
      </c>
      <c r="I50" s="1" t="str">
        <f>CLEAN("STH 64 TO NORTH JUNCTION CTH G")</f>
        <v>STH 64 TO NORTH JUNCTION CTH G</v>
      </c>
      <c r="J50" s="1" t="str">
        <f>CLEAN("CONST/RESURFACE")</f>
        <v>CONST/RESURFACE</v>
      </c>
    </row>
    <row r="51" spans="1:10" x14ac:dyDescent="0.25">
      <c r="A51" s="1" t="str">
        <f>CLEAN("1053-07-04")</f>
        <v>1053-07-04</v>
      </c>
      <c r="B51" s="1" t="str">
        <f>CLEAN("1053-07-74")</f>
        <v>1053-07-74</v>
      </c>
      <c r="C51" s="1">
        <v>2017</v>
      </c>
      <c r="D51" s="3">
        <v>42745</v>
      </c>
      <c r="E51" s="2" t="str">
        <f>CLEAN("MARATHON")</f>
        <v>MARATHON</v>
      </c>
      <c r="F51" s="1" t="str">
        <f>CLEAN("STH-029")</f>
        <v>STH-029</v>
      </c>
      <c r="G51" s="1">
        <v>1.55</v>
      </c>
      <c r="H51" s="1" t="str">
        <f>CLEAN("ABBOTSFORD - WAUSAU")</f>
        <v>ABBOTSFORD - WAUSAU</v>
      </c>
      <c r="I51" s="1" t="str">
        <f>CLEAN("BIG RIB RIVER BRIDGE TO 152ND AVE")</f>
        <v>BIG RIB RIVER BRIDGE TO 152ND AVE</v>
      </c>
      <c r="J51" s="1" t="str">
        <f>CLEAN("CONST/RECONSTRUCT/FRONTAGE ROAD")</f>
        <v>CONST/RECONSTRUCT/FRONTAGE ROAD</v>
      </c>
    </row>
    <row r="52" spans="1:10" ht="30" x14ac:dyDescent="0.25">
      <c r="A52" s="1" t="str">
        <f>CLEAN("1009-42-44")</f>
        <v>1009-42-44</v>
      </c>
      <c r="B52" s="1" t="str">
        <f>CLEAN("1009-42-45")</f>
        <v>1009-42-45</v>
      </c>
      <c r="C52" s="1">
        <v>2017</v>
      </c>
      <c r="D52" s="3">
        <v>42808</v>
      </c>
      <c r="E52" s="2" t="str">
        <f>CLEAN("REGION WIDE")</f>
        <v>REGION WIDE</v>
      </c>
      <c r="F52" s="1" t="str">
        <f>CLEAN("VAR-HWY")</f>
        <v>VAR-HWY</v>
      </c>
      <c r="G52" s="1">
        <v>0</v>
      </c>
      <c r="H52" s="1" t="str">
        <f>CLEAN("NC REGION  EPOXY PAVEMENT MARKING")</f>
        <v>NC REGION  EPOXY PAVEMENT MARKING</v>
      </c>
      <c r="I52" s="1" t="str">
        <f>CLEAN("LOCATIONS ON STN PER ANNUAL PLAN")</f>
        <v>LOCATIONS ON STN PER ANNUAL PLAN</v>
      </c>
      <c r="J52" s="1" t="str">
        <f>CLEAN("REGION WIDE/TRF OPS- PAVMT MARKING")</f>
        <v>REGION WIDE/TRF OPS- PAVMT MARKING</v>
      </c>
    </row>
    <row r="53" spans="1:10" ht="30" x14ac:dyDescent="0.25">
      <c r="A53" s="1" t="str">
        <f>CLEAN("1009-43-34")</f>
        <v>1009-43-34</v>
      </c>
      <c r="B53" s="1" t="str">
        <f>CLEAN("1009-43-64")</f>
        <v>1009-43-64</v>
      </c>
      <c r="C53" s="1">
        <v>2017</v>
      </c>
      <c r="D53" s="3">
        <v>42717</v>
      </c>
      <c r="E53" s="2" t="str">
        <f>CLEAN("REGION WIDE")</f>
        <v>REGION WIDE</v>
      </c>
      <c r="F53" s="1" t="str">
        <f>CLEAN("VAR-HWY")</f>
        <v>VAR-HWY</v>
      </c>
      <c r="G53" s="1">
        <v>0.38</v>
      </c>
      <c r="H53" s="1" t="str">
        <f>CLEAN("REGION WIDE CULVERT REPLACEMENT")</f>
        <v>REGION WIDE CULVERT REPLACEMENT</v>
      </c>
      <c r="I53" s="1" t="str">
        <f>CLEAN("VARIOUS HIGHWAYS")</f>
        <v>VARIOUS HIGHWAYS</v>
      </c>
      <c r="J53" s="1" t="str">
        <f>CLEAN("SHRM")</f>
        <v>SHRM</v>
      </c>
    </row>
    <row r="54" spans="1:10" x14ac:dyDescent="0.25">
      <c r="A54" s="1" t="str">
        <f>CLEAN("1166-05-09")</f>
        <v>1166-05-09</v>
      </c>
      <c r="B54" s="1" t="str">
        <f>CLEAN("1166-05-79")</f>
        <v>1166-05-79</v>
      </c>
      <c r="C54" s="1">
        <v>2017</v>
      </c>
      <c r="D54" s="3">
        <v>42927</v>
      </c>
      <c r="E54" s="2" t="str">
        <f>CLEAN("PORTAGE")</f>
        <v>PORTAGE</v>
      </c>
      <c r="F54" s="1" t="str">
        <f>CLEAN("IH -039")</f>
        <v>IH -039</v>
      </c>
      <c r="G54" s="1">
        <v>16.917000000000002</v>
      </c>
      <c r="H54" s="1" t="str">
        <f>CLEAN("PLAINFIELD - STEVENS POINT")</f>
        <v>PLAINFIELD - STEVENS POINT</v>
      </c>
      <c r="I54" s="1" t="str">
        <f>CLEAN("CTH O TO STH 54  NB")</f>
        <v>CTH O TO STH 54  NB</v>
      </c>
      <c r="J54" s="1" t="str">
        <f>CLEAN("RESURFACE")</f>
        <v>RESURFACE</v>
      </c>
    </row>
    <row r="55" spans="1:10" x14ac:dyDescent="0.25">
      <c r="A55" s="1" t="str">
        <f>CLEAN("1166-08-14")</f>
        <v>1166-08-14</v>
      </c>
      <c r="B55" s="1" t="str">
        <f>CLEAN("1166-08-84")</f>
        <v>1166-08-84</v>
      </c>
      <c r="C55" s="1">
        <v>2017</v>
      </c>
      <c r="D55" s="3">
        <v>42808</v>
      </c>
      <c r="E55" s="2" t="str">
        <f>CLEAN("PORTAGE")</f>
        <v>PORTAGE</v>
      </c>
      <c r="F55" s="1" t="str">
        <f>CLEAN("IH -039")</f>
        <v>IH -039</v>
      </c>
      <c r="G55" s="1">
        <v>0.19</v>
      </c>
      <c r="H55" s="1" t="str">
        <f>CLEAN("C STEVENS POINT  STANLEY STREET")</f>
        <v>C STEVENS POINT  STANLEY STREET</v>
      </c>
      <c r="I55" s="1" t="str">
        <f>CLEAN("STANLEY ST BR OVERHEIGHT DETECTION")</f>
        <v>STANLEY ST BR OVERHEIGHT DETECTION</v>
      </c>
      <c r="J55" s="1" t="str">
        <f>CLEAN("CONSTR/MISC")</f>
        <v>CONSTR/MISC</v>
      </c>
    </row>
    <row r="56" spans="1:10" x14ac:dyDescent="0.25">
      <c r="A56" s="1" t="str">
        <f>CLEAN("6340-00-02")</f>
        <v>6340-00-02</v>
      </c>
      <c r="B56" s="1" t="str">
        <f>CLEAN("6340-00-72")</f>
        <v>6340-00-72</v>
      </c>
      <c r="C56" s="1">
        <v>2017</v>
      </c>
      <c r="D56" s="3">
        <v>42927</v>
      </c>
      <c r="E56" s="2" t="str">
        <f>CLEAN("PORTAGE")</f>
        <v>PORTAGE</v>
      </c>
      <c r="F56" s="1" t="str">
        <f>CLEAN("STH-034")</f>
        <v>STH-034</v>
      </c>
      <c r="G56" s="1">
        <v>0.06</v>
      </c>
      <c r="H56" s="1" t="str">
        <f>CLEAN("WISCONSIN RAPIDS - KNOWLTON")</f>
        <v>WISCONSIN RAPIDS - KNOWLTON</v>
      </c>
      <c r="I56" s="1" t="str">
        <f>CLEAN("LITTLE EAU PLEINE RIVER BR B-49-92")</f>
        <v>LITTLE EAU PLEINE RIVER BR B-49-92</v>
      </c>
      <c r="J56" s="1" t="str">
        <f>CLEAN("CONSTR/BR REHAB/PEIR REPLACEMENT")</f>
        <v>CONSTR/BR REHAB/PEIR REPLACEMENT</v>
      </c>
    </row>
    <row r="57" spans="1:10" x14ac:dyDescent="0.25">
      <c r="A57" s="1" t="str">
        <f>CLEAN("1580-29-30")</f>
        <v>1580-29-30</v>
      </c>
      <c r="B57" s="1" t="str">
        <f>CLEAN("1580-29-70")</f>
        <v>1580-29-70</v>
      </c>
      <c r="C57" s="1">
        <v>2017</v>
      </c>
      <c r="D57" s="3">
        <v>42717</v>
      </c>
      <c r="E57" s="2" t="str">
        <f>CLEAN("PRICE")</f>
        <v>PRICE</v>
      </c>
      <c r="F57" s="1" t="str">
        <f>CLEAN("USH-008")</f>
        <v>USH-008</v>
      </c>
      <c r="G57" s="1">
        <v>7.6959999999999997</v>
      </c>
      <c r="H57" s="1" t="str">
        <f>CLEAN("PRENTICE - BRADLEY")</f>
        <v>PRENTICE - BRADLEY</v>
      </c>
      <c r="I57" s="1" t="str">
        <f>CLEAN("MILLER ROAD TO LUSTILA ROAD")</f>
        <v>MILLER ROAD TO LUSTILA ROAD</v>
      </c>
      <c r="J57" s="1" t="str">
        <f>CLEAN("CONST/RESURFACE")</f>
        <v>CONST/RESURFACE</v>
      </c>
    </row>
    <row r="58" spans="1:10" x14ac:dyDescent="0.25">
      <c r="A58" s="1" t="str">
        <f>CLEAN("1581-14-00")</f>
        <v>1581-14-00</v>
      </c>
      <c r="B58" s="1" t="str">
        <f>CLEAN("1581-14-70")</f>
        <v>1581-14-70</v>
      </c>
      <c r="C58" s="1">
        <v>2017</v>
      </c>
      <c r="D58" s="3">
        <v>42717</v>
      </c>
      <c r="E58" s="2" t="str">
        <f>CLEAN("PRICE")</f>
        <v>PRICE</v>
      </c>
      <c r="F58" s="1" t="str">
        <f>CLEAN("USH-008")</f>
        <v>USH-008</v>
      </c>
      <c r="G58" s="1">
        <v>6.306</v>
      </c>
      <c r="H58" s="1" t="str">
        <f>CLEAN("HAWKINS - PRENTICE")</f>
        <v>HAWKINS - PRENTICE</v>
      </c>
      <c r="I58" s="1" t="str">
        <f>CLEAN("JUMP RIVER BRIDGE TO MILLER ROAD")</f>
        <v>JUMP RIVER BRIDGE TO MILLER ROAD</v>
      </c>
      <c r="J58" s="1" t="str">
        <f>CLEAN("CONST/RESURFACE")</f>
        <v>CONST/RESURFACE</v>
      </c>
    </row>
    <row r="59" spans="1:10" x14ac:dyDescent="0.25">
      <c r="A59" s="1" t="str">
        <f>CLEAN("9240-08-00")</f>
        <v>9240-08-00</v>
      </c>
      <c r="B59" s="1" t="str">
        <f>CLEAN("9240-08-70")</f>
        <v>9240-08-70</v>
      </c>
      <c r="C59" s="1">
        <v>2017</v>
      </c>
      <c r="D59" s="3">
        <v>42780</v>
      </c>
      <c r="E59" s="2" t="str">
        <f>CLEAN("PRICE")</f>
        <v>PRICE</v>
      </c>
      <c r="F59" s="1" t="str">
        <f>CLEAN("STH-182")</f>
        <v>STH-182</v>
      </c>
      <c r="G59" s="1">
        <v>0.11</v>
      </c>
      <c r="H59" s="1" t="str">
        <f>CLEAN("PARK FALLS - SPRINGSTEAD")</f>
        <v>PARK FALLS - SPRINGSTEAD</v>
      </c>
      <c r="I59" s="1" t="str">
        <f>CLEAN("N FORK FLAMBEAU RVR BRDGE B-50-0082")</f>
        <v>N FORK FLAMBEAU RVR BRDGE B-50-0082</v>
      </c>
      <c r="J59" s="1" t="str">
        <f>CLEAN("CONST/BRIDGE REPLACEMENT")</f>
        <v>CONST/BRIDGE REPLACEMENT</v>
      </c>
    </row>
    <row r="60" spans="1:10" x14ac:dyDescent="0.25">
      <c r="A60" s="1" t="str">
        <f>CLEAN("9240-08-00")</f>
        <v>9240-08-00</v>
      </c>
      <c r="B60" s="1" t="str">
        <f>CLEAN("9240-08-71")</f>
        <v>9240-08-71</v>
      </c>
      <c r="C60" s="1">
        <v>2017</v>
      </c>
      <c r="D60" s="3">
        <v>42780</v>
      </c>
      <c r="E60" s="2" t="str">
        <f>CLEAN("PRICE")</f>
        <v>PRICE</v>
      </c>
      <c r="F60" s="1" t="str">
        <f>CLEAN("STH-182")</f>
        <v>STH-182</v>
      </c>
      <c r="G60" s="1">
        <v>0.61</v>
      </c>
      <c r="H60" s="1" t="str">
        <f>CLEAN("PARK FALLS - SPRINGSTEAD")</f>
        <v>PARK FALLS - SPRINGSTEAD</v>
      </c>
      <c r="I60" s="1" t="str">
        <f>CLEAN("STH 13 TO SAUNDERS AVENUE")</f>
        <v>STH 13 TO SAUNDERS AVENUE</v>
      </c>
      <c r="J60" s="1" t="str">
        <f>CLEAN("CONST/RESURFACE")</f>
        <v>CONST/RESURFACE</v>
      </c>
    </row>
    <row r="61" spans="1:10" x14ac:dyDescent="0.25">
      <c r="A61" s="1" t="str">
        <f>CLEAN("1058-25-00")</f>
        <v>1058-25-00</v>
      </c>
      <c r="B61" s="1" t="str">
        <f>CLEAN("1058-25-70")</f>
        <v>1058-25-70</v>
      </c>
      <c r="C61" s="1">
        <v>2017</v>
      </c>
      <c r="D61" s="3">
        <v>42864</v>
      </c>
      <c r="E61" s="2" t="str">
        <f>CLEAN("SHAWANO")</f>
        <v>SHAWANO</v>
      </c>
      <c r="F61" s="1" t="str">
        <f>CLEAN("STH-029")</f>
        <v>STH-029</v>
      </c>
      <c r="G61" s="1">
        <v>0.72</v>
      </c>
      <c r="H61" s="1" t="str">
        <f>CLEAN("SHAWANO - GREEN BAY")</f>
        <v>SHAWANO - GREEN BAY</v>
      </c>
      <c r="I61" s="1" t="str">
        <f>CLEAN("STH 29 &amp; STH 156 INTERSECTION")</f>
        <v>STH 29 &amp; STH 156 INTERSECTION</v>
      </c>
      <c r="J61" s="1" t="str">
        <f>CLEAN("CONST/INTERSECTION MOD/HSIP")</f>
        <v>CONST/INTERSECTION MOD/HSIP</v>
      </c>
    </row>
    <row r="62" spans="1:10" x14ac:dyDescent="0.25">
      <c r="A62" s="1" t="str">
        <f>CLEAN("6580-11-30")</f>
        <v>6580-11-30</v>
      </c>
      <c r="B62" s="1" t="str">
        <f>CLEAN("6580-11-60")</f>
        <v>6580-11-60</v>
      </c>
      <c r="C62" s="1">
        <v>2017</v>
      </c>
      <c r="D62" s="3">
        <v>42864</v>
      </c>
      <c r="E62" s="2" t="str">
        <f>CLEAN("SHAWANO")</f>
        <v>SHAWANO</v>
      </c>
      <c r="F62" s="1" t="str">
        <f>CLEAN("STH-156")</f>
        <v>STH-156</v>
      </c>
      <c r="G62" s="1">
        <v>3.99</v>
      </c>
      <c r="H62" s="1" t="str">
        <f>CLEAN("CLINTONVILLE - HOWARD")</f>
        <v>CLINTONVILLE - HOWARD</v>
      </c>
      <c r="I62" s="1" t="str">
        <f>CLEAN("STH 55 TO STH 29")</f>
        <v>STH 55 TO STH 29</v>
      </c>
      <c r="J62" s="1" t="str">
        <f>CLEAN("CONST/SHRM STATE FUND APRVL 10/6/11")</f>
        <v>CONST/SHRM STATE FUND APRVL 10/6/11</v>
      </c>
    </row>
    <row r="63" spans="1:10" x14ac:dyDescent="0.25">
      <c r="A63" s="1" t="str">
        <f>CLEAN("6250-01-06")</f>
        <v>6250-01-06</v>
      </c>
      <c r="B63" s="1" t="str">
        <f>CLEAN("6250-01-78")</f>
        <v>6250-01-78</v>
      </c>
      <c r="C63" s="1">
        <v>2017</v>
      </c>
      <c r="D63" s="3">
        <v>42591</v>
      </c>
      <c r="E63" s="2" t="str">
        <f>CLEAN("WAUPACA")</f>
        <v>WAUPACA</v>
      </c>
      <c r="F63" s="1" t="str">
        <f>CLEAN("STH-022")</f>
        <v>STH-022</v>
      </c>
      <c r="G63" s="1">
        <v>0.80800000000000005</v>
      </c>
      <c r="H63" s="1" t="str">
        <f>CLEAN("C CLINTONVILLE  MAIN STREET")</f>
        <v>C CLINTONVILLE  MAIN STREET</v>
      </c>
      <c r="I63" s="1" t="str">
        <f>CLEAN("13TH STREET TO STH 156")</f>
        <v>13TH STREET TO STH 156</v>
      </c>
      <c r="J63" s="1" t="str">
        <f>CLEAN("RECONSTRUCTION")</f>
        <v>RECONSTRUCTION</v>
      </c>
    </row>
    <row r="64" spans="1:10" x14ac:dyDescent="0.25">
      <c r="A64" s="1" t="str">
        <f>CLEAN("6250-01-06")</f>
        <v>6250-01-06</v>
      </c>
      <c r="B64" s="1" t="str">
        <f>CLEAN("6250-01-79")</f>
        <v>6250-01-79</v>
      </c>
      <c r="C64" s="1">
        <v>2017</v>
      </c>
      <c r="D64" s="3">
        <v>42591</v>
      </c>
      <c r="E64" s="2" t="str">
        <f>CLEAN("WAUPACA")</f>
        <v>WAUPACA</v>
      </c>
      <c r="F64" s="1" t="str">
        <f>CLEAN("STH-022")</f>
        <v>STH-022</v>
      </c>
      <c r="G64" s="1">
        <v>0.83</v>
      </c>
      <c r="H64" s="1" t="str">
        <f>CLEAN("C CLINTONVILLE  MAIN STREET")</f>
        <v>C CLINTONVILLE  MAIN STREET</v>
      </c>
      <c r="I64" s="1" t="str">
        <f>CLEAN("13TH STREET TO STH 156")</f>
        <v>13TH STREET TO STH 156</v>
      </c>
      <c r="J64" s="1" t="str">
        <f>CLEAN("LOCAL UTILITY")</f>
        <v>LOCAL UTILITY</v>
      </c>
    </row>
    <row r="65" spans="1:10" x14ac:dyDescent="0.25">
      <c r="A65" s="1" t="str">
        <f>CLEAN("6950-03-04")</f>
        <v>6950-03-04</v>
      </c>
      <c r="B65" s="1" t="str">
        <f>CLEAN("6950-03-73")</f>
        <v>6950-03-73</v>
      </c>
      <c r="C65" s="1">
        <v>2017</v>
      </c>
      <c r="D65" s="3">
        <v>42626</v>
      </c>
      <c r="E65" s="2" t="str">
        <f>CLEAN("WOOD")</f>
        <v>WOOD</v>
      </c>
      <c r="F65" s="1" t="str">
        <f>CLEAN("STH-054")</f>
        <v>STH-054</v>
      </c>
      <c r="G65" s="1">
        <v>0.79500000000000004</v>
      </c>
      <c r="H65" s="1" t="str">
        <f>CLEAN("DEXTERVILLE - PORT EDWARDS")</f>
        <v>DEXTERVILLE - PORT EDWARDS</v>
      </c>
      <c r="I65" s="1" t="str">
        <f>CLEAN("LONESOME ROAD TO SMITH LANE")</f>
        <v>LONESOME ROAD TO SMITH LANE</v>
      </c>
      <c r="J65" s="1" t="str">
        <f>CLEAN("CONSTR")</f>
        <v>CONSTR</v>
      </c>
    </row>
    <row r="66" spans="1:10" x14ac:dyDescent="0.25">
      <c r="A66" s="1" t="str">
        <f>CLEAN("6950-03-04")</f>
        <v>6950-03-04</v>
      </c>
      <c r="B66" s="1" t="str">
        <f>CLEAN("6950-03-75")</f>
        <v>6950-03-75</v>
      </c>
      <c r="C66" s="1">
        <v>2017</v>
      </c>
      <c r="D66" s="3">
        <v>42626</v>
      </c>
      <c r="E66" s="2" t="str">
        <f>CLEAN("WOOD")</f>
        <v>WOOD</v>
      </c>
      <c r="F66" s="1" t="str">
        <f>CLEAN("STH-054")</f>
        <v>STH-054</v>
      </c>
      <c r="G66" s="1">
        <v>1.4019999999999999</v>
      </c>
      <c r="H66" s="1" t="str">
        <f>CLEAN("DEXTERVILLE - PORT EDWARDS")</f>
        <v>DEXTERVILLE - PORT EDWARDS</v>
      </c>
      <c r="I66" s="1" t="str">
        <f>CLEAN("STH 54 RELOCATION AT CTH D")</f>
        <v>STH 54 RELOCATION AT CTH D</v>
      </c>
      <c r="J66" s="1" t="str">
        <f>CLEAN("RECST")</f>
        <v>RECST</v>
      </c>
    </row>
    <row r="67" spans="1:10" x14ac:dyDescent="0.25">
      <c r="D67" s="3"/>
    </row>
    <row r="68" spans="1:10" x14ac:dyDescent="0.25">
      <c r="A68" s="1" t="str">
        <f>CLEAN("6140-00-36")</f>
        <v>6140-00-36</v>
      </c>
      <c r="B68" s="1" t="str">
        <f>CLEAN("6140-00-66")</f>
        <v>6140-00-66</v>
      </c>
      <c r="C68" s="1">
        <v>2018</v>
      </c>
      <c r="D68" s="3">
        <v>43200</v>
      </c>
      <c r="E68" s="2" t="str">
        <f>CLEAN("ADAMS")</f>
        <v>ADAMS</v>
      </c>
      <c r="F68" s="1" t="str">
        <f>CLEAN("STH-013")</f>
        <v>STH-013</v>
      </c>
      <c r="G68" s="1">
        <v>0.04</v>
      </c>
      <c r="H68" s="1" t="str">
        <f>CLEAN("WISCONSIN DELLS - ADAMS")</f>
        <v>WISCONSIN DELLS - ADAMS</v>
      </c>
      <c r="I68" s="1" t="str">
        <f>CLEAN("CULVERT REPLACEMENT C-01-9001")</f>
        <v>CULVERT REPLACEMENT C-01-9001</v>
      </c>
      <c r="J68" s="1" t="str">
        <f>CLEAN("CONSTR/RDMTN")</f>
        <v>CONSTR/RDMTN</v>
      </c>
    </row>
    <row r="69" spans="1:10" x14ac:dyDescent="0.25">
      <c r="A69" s="1" t="str">
        <f>CLEAN("1009-44-30")</f>
        <v>1009-44-30</v>
      </c>
      <c r="B69" s="1" t="str">
        <f>CLEAN("1009-44-60")</f>
        <v>1009-44-60</v>
      </c>
      <c r="C69" s="1">
        <v>2018</v>
      </c>
      <c r="D69" s="3">
        <v>43081</v>
      </c>
      <c r="E69" s="2" t="str">
        <f>CLEAN("IRON")</f>
        <v>IRON</v>
      </c>
      <c r="F69" s="1" t="str">
        <f>CLEAN("USH-002")</f>
        <v>USH-002</v>
      </c>
      <c r="G69" s="1">
        <v>0</v>
      </c>
      <c r="H69" s="1" t="str">
        <f>CLEAN("ASHLAND - SAXON")</f>
        <v>ASHLAND - SAXON</v>
      </c>
      <c r="I69" s="1" t="str">
        <f>CLEAN("CULVERT REPLACEMENT")</f>
        <v>CULVERT REPLACEMENT</v>
      </c>
      <c r="J69" s="1" t="str">
        <f>CLEAN("CONST/SHRM")</f>
        <v>CONST/SHRM</v>
      </c>
    </row>
    <row r="70" spans="1:10" x14ac:dyDescent="0.25">
      <c r="A70" s="1" t="str">
        <f>CLEAN("1185-05-00")</f>
        <v>1185-05-00</v>
      </c>
      <c r="B70" s="1" t="str">
        <f>CLEAN("1185-05-70")</f>
        <v>1185-05-70</v>
      </c>
      <c r="C70" s="1">
        <v>2018</v>
      </c>
      <c r="D70" s="3">
        <v>42990</v>
      </c>
      <c r="E70" s="2" t="str">
        <f>CLEAN("IRON")</f>
        <v>IRON</v>
      </c>
      <c r="F70" s="1" t="str">
        <f>CLEAN("USH-002")</f>
        <v>USH-002</v>
      </c>
      <c r="G70" s="1">
        <v>0.02</v>
      </c>
      <c r="H70" s="1" t="str">
        <f>CLEAN("SAXON - HURLEY")</f>
        <v>SAXON - HURLEY</v>
      </c>
      <c r="I70" s="1" t="str">
        <f>CLEAN("WCL RAILROAD BRIDGE  B-26-0011")</f>
        <v>WCL RAILROAD BRIDGE  B-26-0011</v>
      </c>
      <c r="J70" s="1" t="str">
        <f>CLEAN("CONST/BRIDGE REHAB")</f>
        <v>CONST/BRIDGE REHAB</v>
      </c>
    </row>
    <row r="71" spans="1:10" x14ac:dyDescent="0.25">
      <c r="A71" s="1" t="str">
        <f>CLEAN("9175-06-00")</f>
        <v>9175-06-00</v>
      </c>
      <c r="B71" s="1" t="str">
        <f>CLEAN("9175-06-70")</f>
        <v>9175-06-70</v>
      </c>
      <c r="C71" s="1">
        <v>2018</v>
      </c>
      <c r="D71" s="3">
        <v>43109</v>
      </c>
      <c r="E71" s="2" t="str">
        <f>CLEAN("LANGLADE")</f>
        <v>LANGLADE</v>
      </c>
      <c r="F71" s="1" t="str">
        <f>CLEAN("STH-052")</f>
        <v>STH-052</v>
      </c>
      <c r="G71" s="1">
        <v>0.01</v>
      </c>
      <c r="H71" s="1" t="str">
        <f>CLEAN("ANTIGO - LILY")</f>
        <v>ANTIGO - LILY</v>
      </c>
      <c r="I71" s="1" t="str">
        <f>CLEAN("WOLF RIVER BRIDGE  B-34-0050")</f>
        <v>WOLF RIVER BRIDGE  B-34-0050</v>
      </c>
      <c r="J71" s="1" t="str">
        <f>CLEAN("CONST/BRIDGE REPLACEMENT")</f>
        <v>CONST/BRIDGE REPLACEMENT</v>
      </c>
    </row>
    <row r="72" spans="1:10" x14ac:dyDescent="0.25">
      <c r="A72" s="1" t="str">
        <f>CLEAN("1009-45-00")</f>
        <v>1009-45-00</v>
      </c>
      <c r="B72" s="1" t="str">
        <f>CLEAN("9000-05-60")</f>
        <v>9000-05-60</v>
      </c>
      <c r="C72" s="1">
        <v>2018</v>
      </c>
      <c r="D72" s="3">
        <v>42990</v>
      </c>
      <c r="E72" s="2" t="str">
        <f>CLEAN("LINCOLN")</f>
        <v>LINCOLN</v>
      </c>
      <c r="F72" s="1" t="str">
        <f>CLEAN("STH-064")</f>
        <v>STH-064</v>
      </c>
      <c r="G72" s="1">
        <v>0.17</v>
      </c>
      <c r="H72" s="1" t="str">
        <f>CLEAN("MEDFORD - MERRILL")</f>
        <v>MEDFORD - MERRILL</v>
      </c>
      <c r="I72" s="1" t="str">
        <f>CLEAN("CULVERT REPLACEMENT C-35-0001")</f>
        <v>CULVERT REPLACEMENT C-35-0001</v>
      </c>
      <c r="J72" s="1" t="str">
        <f>CLEAN("CONST/RDMTN/CULVERT")</f>
        <v>CONST/RDMTN/CULVERT</v>
      </c>
    </row>
    <row r="73" spans="1:10" x14ac:dyDescent="0.25">
      <c r="A73" s="1" t="str">
        <f>CLEAN("6380-04-07")</f>
        <v>6380-04-07</v>
      </c>
      <c r="B73" s="1" t="str">
        <f>CLEAN("6380-04-77")</f>
        <v>6380-04-77</v>
      </c>
      <c r="C73" s="1">
        <v>2018</v>
      </c>
      <c r="D73" s="3">
        <v>43144</v>
      </c>
      <c r="E73" s="2" t="str">
        <f>CLEAN("MARATHON")</f>
        <v>MARATHON</v>
      </c>
      <c r="F73" s="1" t="str">
        <f>CLEAN("STH-097")</f>
        <v>STH-097</v>
      </c>
      <c r="G73" s="1">
        <v>10.02</v>
      </c>
      <c r="H73" s="1" t="str">
        <f>CLEAN("STRATFORD - GOODRICH")</f>
        <v>STRATFORD - GOODRICH</v>
      </c>
      <c r="I73" s="1" t="str">
        <f>CLEAN("SOUTH STREET TO STH 29")</f>
        <v>SOUTH STREET TO STH 29</v>
      </c>
      <c r="J73" s="1" t="str">
        <f>CLEAN("CONST/RESURFACE")</f>
        <v>CONST/RESURFACE</v>
      </c>
    </row>
    <row r="74" spans="1:10" x14ac:dyDescent="0.25">
      <c r="A74" s="1" t="str">
        <f>CLEAN("6054-05-05")</f>
        <v>6054-05-05</v>
      </c>
      <c r="B74" s="1" t="str">
        <f>CLEAN("6054-05-75")</f>
        <v>6054-05-75</v>
      </c>
      <c r="C74" s="1">
        <v>2018</v>
      </c>
      <c r="D74" s="3">
        <v>43291</v>
      </c>
      <c r="E74" s="2" t="str">
        <f>CLEAN("MARQUETTE")</f>
        <v>MARQUETTE</v>
      </c>
      <c r="F74" s="1" t="str">
        <f>CLEAN("STH-022")</f>
        <v>STH-022</v>
      </c>
      <c r="G74" s="1">
        <v>1.22</v>
      </c>
      <c r="H74" s="1" t="str">
        <f>CLEAN("C MONTELLO  MAIN &amp; MONTELLO STS.")</f>
        <v>C MONTELLO  MAIN &amp; MONTELLO STS.</v>
      </c>
      <c r="I74" s="1" t="str">
        <f>CLEAN("5TH STREET TO N JCT STH 23")</f>
        <v>5TH STREET TO N JCT STH 23</v>
      </c>
      <c r="J74" s="1" t="str">
        <f>CLEAN("RESURFACE")</f>
        <v>RESURFACE</v>
      </c>
    </row>
    <row r="75" spans="1:10" x14ac:dyDescent="0.25">
      <c r="A75" s="1" t="str">
        <f>CLEAN("6150-00-31")</f>
        <v>6150-00-31</v>
      </c>
      <c r="B75" s="1" t="str">
        <f>CLEAN("6150-00-61")</f>
        <v>6150-00-61</v>
      </c>
      <c r="C75" s="1">
        <v>2018</v>
      </c>
      <c r="D75" s="3">
        <v>43291</v>
      </c>
      <c r="E75" s="2" t="str">
        <f>CLEAN("MARQUETTE")</f>
        <v>MARQUETTE</v>
      </c>
      <c r="F75" s="1" t="str">
        <f>CLEAN("STH-022")</f>
        <v>STH-022</v>
      </c>
      <c r="G75" s="1">
        <v>0.04</v>
      </c>
      <c r="H75" s="1" t="str">
        <f>CLEAN("C MONTELLO  MAIN STREET")</f>
        <v>C MONTELLO  MAIN STREET</v>
      </c>
      <c r="I75" s="1" t="str">
        <f>CLEAN("FOX &amp; MONTELLO RIVER BR B-39-49 51")</f>
        <v>FOX &amp; MONTELLO RIVER BR B-39-49 51</v>
      </c>
      <c r="J75" s="1" t="str">
        <f>CLEAN("CONSTR/SCOUR MITIGATION")</f>
        <v>CONSTR/SCOUR MITIGATION</v>
      </c>
    </row>
    <row r="76" spans="1:10" x14ac:dyDescent="0.25">
      <c r="A76" s="1" t="str">
        <f>CLEAN("6150-01-06")</f>
        <v>6150-01-06</v>
      </c>
      <c r="B76" s="1" t="str">
        <f>CLEAN("6150-01-76")</f>
        <v>6150-01-76</v>
      </c>
      <c r="C76" s="1">
        <v>2018</v>
      </c>
      <c r="D76" s="3">
        <v>43109</v>
      </c>
      <c r="E76" s="2" t="str">
        <f>CLEAN("MARQUETTE")</f>
        <v>MARQUETTE</v>
      </c>
      <c r="F76" s="1" t="str">
        <f>CLEAN("STH-022")</f>
        <v>STH-022</v>
      </c>
      <c r="G76" s="1">
        <v>13.56</v>
      </c>
      <c r="H76" s="1" t="str">
        <f>CLEAN("MONTELLO - WAUTOMA")</f>
        <v>MONTELLO - WAUTOMA</v>
      </c>
      <c r="I76" s="1" t="str">
        <f>CLEAN("PARK STREET TO CTH JJ")</f>
        <v>PARK STREET TO CTH JJ</v>
      </c>
      <c r="J76" s="1" t="str">
        <f>CLEAN("CONST/RESURFACE")</f>
        <v>CONST/RESURFACE</v>
      </c>
    </row>
    <row r="77" spans="1:10" x14ac:dyDescent="0.25">
      <c r="A77" s="1" t="str">
        <f>CLEAN("9650-17-01")</f>
        <v>9650-17-01</v>
      </c>
      <c r="B77" s="1" t="str">
        <f>CLEAN("9650-17-71")</f>
        <v>9650-17-71</v>
      </c>
      <c r="C77" s="1">
        <v>2018</v>
      </c>
      <c r="D77" s="3">
        <v>42955</v>
      </c>
      <c r="E77" s="2" t="str">
        <f>CLEAN("MENOMINEE")</f>
        <v>MENOMINEE</v>
      </c>
      <c r="F77" s="1" t="str">
        <f>CLEAN("STH-047")</f>
        <v>STH-047</v>
      </c>
      <c r="G77" s="1">
        <v>0.65</v>
      </c>
      <c r="H77" s="1" t="str">
        <f>CLEAN("SHAWANO - NEOPIT")</f>
        <v>SHAWANO - NEOPIT</v>
      </c>
      <c r="I77" s="1" t="str">
        <f>CLEAN("SHAWANO CO LINE TO DUQUAINE ROAD")</f>
        <v>SHAWANO CO LINE TO DUQUAINE ROAD</v>
      </c>
      <c r="J77" s="1" t="str">
        <f>CLEAN("CONST/RECONSTRUCT")</f>
        <v>CONST/RECONSTRUCT</v>
      </c>
    </row>
    <row r="78" spans="1:10" x14ac:dyDescent="0.25">
      <c r="A78" s="1" t="str">
        <f>CLEAN("9650-17-01")</f>
        <v>9650-17-01</v>
      </c>
      <c r="B78" s="1" t="str">
        <f>CLEAN("9650-17-72")</f>
        <v>9650-17-72</v>
      </c>
      <c r="C78" s="1">
        <v>2018</v>
      </c>
      <c r="D78" s="3">
        <v>42955</v>
      </c>
      <c r="E78" s="2" t="str">
        <f>CLEAN("MENOMINEE")</f>
        <v>MENOMINEE</v>
      </c>
      <c r="F78" s="1" t="str">
        <f>CLEAN("STH-047")</f>
        <v>STH-047</v>
      </c>
      <c r="G78" s="1">
        <v>0.5</v>
      </c>
      <c r="H78" s="1" t="str">
        <f>CLEAN("SHAWANO - NEOPIT")</f>
        <v>SHAWANO - NEOPIT</v>
      </c>
      <c r="I78" s="1" t="str">
        <f>CLEAN("SHAWANO CO LINE TO DUQUAINE ROAD")</f>
        <v>SHAWANO CO LINE TO DUQUAINE ROAD</v>
      </c>
      <c r="J78" s="1" t="str">
        <f>CLEAN("CONST/RECONSTRUCT/UTILITY WORK")</f>
        <v>CONST/RECONSTRUCT/UTILITY WORK</v>
      </c>
    </row>
    <row r="79" spans="1:10" ht="30" x14ac:dyDescent="0.25">
      <c r="A79" s="1" t="str">
        <f>CLEAN("1009-42-46")</f>
        <v>1009-42-46</v>
      </c>
      <c r="B79" s="1" t="str">
        <f>CLEAN("1009-42-47")</f>
        <v>1009-42-47</v>
      </c>
      <c r="C79" s="1">
        <v>2018</v>
      </c>
      <c r="D79" s="3">
        <v>43172</v>
      </c>
      <c r="E79" s="2" t="str">
        <f>CLEAN("REGION WIDE")</f>
        <v>REGION WIDE</v>
      </c>
      <c r="F79" s="1" t="str">
        <f>CLEAN("VAR-HWY")</f>
        <v>VAR-HWY</v>
      </c>
      <c r="G79" s="1">
        <v>0</v>
      </c>
      <c r="H79" s="1" t="str">
        <f>CLEAN("NC REGION  EPOXY PAVEMENT MARKING")</f>
        <v>NC REGION  EPOXY PAVEMENT MARKING</v>
      </c>
      <c r="I79" s="1" t="str">
        <f>CLEAN("LOCATIONS ON STN PER ANNUAL PLAN")</f>
        <v>LOCATIONS ON STN PER ANNUAL PLAN</v>
      </c>
      <c r="J79" s="1" t="str">
        <f>CLEAN("REGION WIDE/TRF OPS- PAVMT MARKING")</f>
        <v>REGION WIDE/TRF OPS- PAVMT MARKING</v>
      </c>
    </row>
    <row r="80" spans="1:10" x14ac:dyDescent="0.25">
      <c r="A80" s="1" t="str">
        <f>CLEAN("1170-19-30")</f>
        <v>1170-19-30</v>
      </c>
      <c r="B80" s="1" t="str">
        <f>CLEAN("1170-19-60")</f>
        <v>1170-19-60</v>
      </c>
      <c r="C80" s="1">
        <v>2018</v>
      </c>
      <c r="D80" s="3">
        <v>43291</v>
      </c>
      <c r="E80" s="2" t="str">
        <f>CLEAN("ONEIDA")</f>
        <v>ONEIDA</v>
      </c>
      <c r="F80" s="1" t="str">
        <f>CLEAN("USH-051")</f>
        <v>USH-051</v>
      </c>
      <c r="G80" s="1">
        <v>0.59</v>
      </c>
      <c r="H80" s="1" t="str">
        <f>CLEAN("MINOCQUA - MANITOWISH")</f>
        <v>MINOCQUA - MANITOWISH</v>
      </c>
      <c r="I80" s="1" t="str">
        <f>CLEAN("MINOCQUA BRIDGE TO LAKESHORE DRIVE")</f>
        <v>MINOCQUA BRIDGE TO LAKESHORE DRIVE</v>
      </c>
      <c r="J80" s="1" t="str">
        <f>CLEAN("CONST/PREV MAINT APPROVAL 6/1/11")</f>
        <v>CONST/PREV MAINT APPROVAL 6/1/11</v>
      </c>
    </row>
    <row r="81" spans="1:10" x14ac:dyDescent="0.25">
      <c r="A81" s="1" t="str">
        <f>CLEAN("1166-12-01")</f>
        <v>1166-12-01</v>
      </c>
      <c r="B81" s="1" t="str">
        <f>CLEAN("1166-12-71")</f>
        <v>1166-12-71</v>
      </c>
      <c r="C81" s="1">
        <v>2018</v>
      </c>
      <c r="D81" s="3">
        <v>42955</v>
      </c>
      <c r="E81" s="2" t="str">
        <f t="shared" ref="E81:E88" si="2">CLEAN("PORTAGE")</f>
        <v>PORTAGE</v>
      </c>
      <c r="F81" s="1" t="str">
        <f>CLEAN("IH -039")</f>
        <v>IH -039</v>
      </c>
      <c r="G81" s="1">
        <v>0.36</v>
      </c>
      <c r="H81" s="1" t="str">
        <f>CLEAN("PLAINFIELD - STEVENS POINT")</f>
        <v>PLAINFIELD - STEVENS POINT</v>
      </c>
      <c r="I81" s="1" t="str">
        <f>CLEAN("STH 54 INTERCHANGE B-49-0013")</f>
        <v>STH 54 INTERCHANGE B-49-0013</v>
      </c>
      <c r="J81" s="1" t="str">
        <f>CLEAN("CONSTR/BRIDGE OVERLAY")</f>
        <v>CONSTR/BRIDGE OVERLAY</v>
      </c>
    </row>
    <row r="82" spans="1:10" x14ac:dyDescent="0.25">
      <c r="A82" s="1" t="str">
        <f>CLEAN("1166-12-10")</f>
        <v>1166-12-10</v>
      </c>
      <c r="B82" s="1" t="str">
        <f>CLEAN("1166-12-80")</f>
        <v>1166-12-80</v>
      </c>
      <c r="C82" s="1">
        <v>2018</v>
      </c>
      <c r="D82" s="3">
        <v>43081</v>
      </c>
      <c r="E82" s="2" t="str">
        <f t="shared" si="2"/>
        <v>PORTAGE</v>
      </c>
      <c r="F82" s="1" t="str">
        <f>CLEAN("IH -039")</f>
        <v>IH -039</v>
      </c>
      <c r="G82" s="1">
        <v>11.08</v>
      </c>
      <c r="H82" s="1" t="str">
        <f>CLEAN("PLAINFIELD - STEVENS POINT")</f>
        <v>PLAINFIELD - STEVENS POINT</v>
      </c>
      <c r="I82" s="1" t="str">
        <f>CLEAN("STH 54 TO NORTH 2ND STREET")</f>
        <v>STH 54 TO NORTH 2ND STREET</v>
      </c>
      <c r="J82" s="1" t="str">
        <f>CLEAN("CONST/RESURFACE")</f>
        <v>CONST/RESURFACE</v>
      </c>
    </row>
    <row r="83" spans="1:10" x14ac:dyDescent="0.25">
      <c r="A83" s="1" t="str">
        <f>CLEAN("1166-12-10")</f>
        <v>1166-12-10</v>
      </c>
      <c r="B83" s="1" t="str">
        <f>CLEAN("6414-00-73")</f>
        <v>6414-00-73</v>
      </c>
      <c r="C83" s="1">
        <v>2018</v>
      </c>
      <c r="D83" s="3">
        <v>43081</v>
      </c>
      <c r="E83" s="2" t="str">
        <f t="shared" si="2"/>
        <v>PORTAGE</v>
      </c>
      <c r="F83" s="1" t="str">
        <f>CLEAN("STH-054")</f>
        <v>STH-054</v>
      </c>
      <c r="G83" s="1">
        <v>0.43</v>
      </c>
      <c r="H83" s="1" t="str">
        <f>CLEAN("PLOVER - WAUPACA")</f>
        <v>PLOVER - WAUPACA</v>
      </c>
      <c r="I83" s="1" t="str">
        <f>CLEAN("HOOVER AVENUE TO HARDING AVENUE")</f>
        <v>HOOVER AVENUE TO HARDING AVENUE</v>
      </c>
      <c r="J83" s="1" t="str">
        <f>CLEAN("CONST/RESURFACE")</f>
        <v>CONST/RESURFACE</v>
      </c>
    </row>
    <row r="84" spans="1:10" x14ac:dyDescent="0.25">
      <c r="A84" s="1" t="str">
        <f>CLEAN("6290-05-05")</f>
        <v>6290-05-05</v>
      </c>
      <c r="B84" s="1" t="str">
        <f>CLEAN("6290-05-75")</f>
        <v>6290-05-75</v>
      </c>
      <c r="C84" s="1">
        <v>2018</v>
      </c>
      <c r="D84" s="3">
        <v>43053</v>
      </c>
      <c r="E84" s="2" t="str">
        <f t="shared" si="2"/>
        <v>PORTAGE</v>
      </c>
      <c r="F84" s="1" t="str">
        <f>CLEAN("USH-010")</f>
        <v>USH-010</v>
      </c>
      <c r="G84" s="1">
        <v>1.736</v>
      </c>
      <c r="H84" s="1" t="str">
        <f>CLEAN("STEVENS POINT - WAUPACA")</f>
        <v>STEVENS POINT - WAUPACA</v>
      </c>
      <c r="I84" s="1" t="str">
        <f>CLEAN("COUNTRY CLUB DRIVE TO BADGER AVENUE")</f>
        <v>COUNTRY CLUB DRIVE TO BADGER AVENUE</v>
      </c>
      <c r="J84" s="1" t="str">
        <f>CLEAN("CONST/RECONDITION B-49-24 REPAIR")</f>
        <v>CONST/RECONDITION B-49-24 REPAIR</v>
      </c>
    </row>
    <row r="85" spans="1:10" x14ac:dyDescent="0.25">
      <c r="A85" s="1" t="str">
        <f>CLEAN("6414-00-10")</f>
        <v>6414-00-10</v>
      </c>
      <c r="B85" s="1" t="str">
        <f>CLEAN("6414-00-80")</f>
        <v>6414-00-80</v>
      </c>
      <c r="C85" s="1">
        <v>2018</v>
      </c>
      <c r="D85" s="3">
        <v>43291</v>
      </c>
      <c r="E85" s="2" t="str">
        <f t="shared" si="2"/>
        <v>PORTAGE</v>
      </c>
      <c r="F85" s="1" t="str">
        <f>CLEAN("BUS-051")</f>
        <v>BUS-051</v>
      </c>
      <c r="G85" s="1">
        <v>0.57999999999999996</v>
      </c>
      <c r="H85" s="1" t="str">
        <f>CLEAN("VILLAGE OF WHITING  POST ROAD")</f>
        <v>VILLAGE OF WHITING  POST ROAD</v>
      </c>
      <c r="I85" s="1" t="str">
        <f>CLEAN("TOMMY'S TURNPIKE TO ELM STREET")</f>
        <v>TOMMY'S TURNPIKE TO ELM STREET</v>
      </c>
      <c r="J85" s="1" t="str">
        <f>CLEAN("JT RECONSTRUCTION")</f>
        <v>JT RECONSTRUCTION</v>
      </c>
    </row>
    <row r="86" spans="1:10" x14ac:dyDescent="0.25">
      <c r="A86" s="1" t="str">
        <f>CLEAN("6414-00-10")</f>
        <v>6414-00-10</v>
      </c>
      <c r="B86" s="1" t="str">
        <f>CLEAN("6414-00-84")</f>
        <v>6414-00-84</v>
      </c>
      <c r="C86" s="1">
        <v>2018</v>
      </c>
      <c r="D86" s="3">
        <v>43291</v>
      </c>
      <c r="E86" s="2" t="str">
        <f t="shared" si="2"/>
        <v>PORTAGE</v>
      </c>
      <c r="F86" s="1" t="str">
        <f>CLEAN("BUS-051")</f>
        <v>BUS-051</v>
      </c>
      <c r="G86" s="1">
        <v>1.3</v>
      </c>
      <c r="H86" s="1" t="str">
        <f>CLEAN("VILLAGE OF WHITING  POST ROAD")</f>
        <v>VILLAGE OF WHITING  POST ROAD</v>
      </c>
      <c r="I86" s="1" t="str">
        <f>CLEAN("TOMMY'S TURNPIKE TO ELM STREET")</f>
        <v>TOMMY'S TURNPIKE TO ELM STREET</v>
      </c>
      <c r="J86" s="1" t="str">
        <f>CLEAN("LOCAL UTILITIES")</f>
        <v>LOCAL UTILITIES</v>
      </c>
    </row>
    <row r="87" spans="1:10" x14ac:dyDescent="0.25">
      <c r="A87" s="1" t="str">
        <f>CLEAN("6414-00-11")</f>
        <v>6414-00-11</v>
      </c>
      <c r="B87" s="1" t="str">
        <f>CLEAN("6414-00-81")</f>
        <v>6414-00-81</v>
      </c>
      <c r="C87" s="1">
        <v>2018</v>
      </c>
      <c r="D87" s="3">
        <v>43291</v>
      </c>
      <c r="E87" s="2" t="str">
        <f t="shared" si="2"/>
        <v>PORTAGE</v>
      </c>
      <c r="F87" s="1" t="str">
        <f>CLEAN("BUS-051")</f>
        <v>BUS-051</v>
      </c>
      <c r="G87" s="1">
        <v>0.53</v>
      </c>
      <c r="H87" s="1" t="str">
        <f>CLEAN("VILLAGE OF WHITING  POST ROAD")</f>
        <v>VILLAGE OF WHITING  POST ROAD</v>
      </c>
      <c r="I87" s="1" t="str">
        <f>CLEAN("ELM STREET TO MINNESOTA AVENUE")</f>
        <v>ELM STREET TO MINNESOTA AVENUE</v>
      </c>
      <c r="J87" s="1" t="str">
        <f>CLEAN("JT RECONSTRUCTION")</f>
        <v>JT RECONSTRUCTION</v>
      </c>
    </row>
    <row r="88" spans="1:10" x14ac:dyDescent="0.25">
      <c r="A88" s="1" t="str">
        <f>CLEAN("6414-00-11")</f>
        <v>6414-00-11</v>
      </c>
      <c r="B88" s="1" t="str">
        <f>CLEAN("6414-00-85")</f>
        <v>6414-00-85</v>
      </c>
      <c r="C88" s="1">
        <v>2018</v>
      </c>
      <c r="D88" s="3">
        <v>43291</v>
      </c>
      <c r="E88" s="2" t="str">
        <f t="shared" si="2"/>
        <v>PORTAGE</v>
      </c>
      <c r="F88" s="1" t="str">
        <f>CLEAN("BUS-051")</f>
        <v>BUS-051</v>
      </c>
      <c r="G88" s="1">
        <v>0.61199999999999999</v>
      </c>
      <c r="H88" s="1" t="str">
        <f>CLEAN("VILLAGE OF WHITING  POST ROAD")</f>
        <v>VILLAGE OF WHITING  POST ROAD</v>
      </c>
      <c r="I88" s="1" t="str">
        <f>CLEAN("ELM STREET TO MINNESOTA AVENUE")</f>
        <v>ELM STREET TO MINNESOTA AVENUE</v>
      </c>
      <c r="J88" s="1" t="str">
        <f>CLEAN("LOCAL UTILITIES")</f>
        <v>LOCAL UTILITIES</v>
      </c>
    </row>
    <row r="89" spans="1:10" x14ac:dyDescent="0.25">
      <c r="A89" s="1" t="str">
        <f>CLEAN("1009-45-00")</f>
        <v>1009-45-00</v>
      </c>
      <c r="B89" s="1" t="str">
        <f>CLEAN("8695-03-70")</f>
        <v>8695-03-70</v>
      </c>
      <c r="C89" s="1">
        <v>2018</v>
      </c>
      <c r="D89" s="3">
        <v>42990</v>
      </c>
      <c r="E89" s="2" t="str">
        <f>CLEAN("PRICE")</f>
        <v>PRICE</v>
      </c>
      <c r="F89" s="1" t="str">
        <f>CLEAN("STH-111")</f>
        <v>STH-111</v>
      </c>
      <c r="G89" s="1">
        <v>0.08</v>
      </c>
      <c r="H89" s="1" t="str">
        <f>CLEAN("CATAWBA - STH 13")</f>
        <v>CATAWBA - STH 13</v>
      </c>
      <c r="I89" s="1" t="str">
        <f>CLEAN("NEEDLE CREEK BRIDGE C-50-0002")</f>
        <v>NEEDLE CREEK BRIDGE C-50-0002</v>
      </c>
      <c r="J89" s="1" t="str">
        <f>CLEAN("CONST/CULVERT TO NEW BRIDGE")</f>
        <v>CONST/CULVERT TO NEW BRIDGE</v>
      </c>
    </row>
    <row r="90" spans="1:10" x14ac:dyDescent="0.25">
      <c r="A90" s="1" t="str">
        <f>CLEAN("1009-45-00")</f>
        <v>1009-45-00</v>
      </c>
      <c r="B90" s="1" t="str">
        <f>CLEAN("9216-07-60")</f>
        <v>9216-07-60</v>
      </c>
      <c r="C90" s="1">
        <v>2018</v>
      </c>
      <c r="D90" s="3">
        <v>42990</v>
      </c>
      <c r="E90" s="2" t="str">
        <f>CLEAN("PRICE")</f>
        <v>PRICE</v>
      </c>
      <c r="F90" s="1" t="str">
        <f>CLEAN("STH-086")</f>
        <v>STH-086</v>
      </c>
      <c r="G90" s="1">
        <v>7.0000000000000007E-2</v>
      </c>
      <c r="H90" s="1" t="str">
        <f>CLEAN("OGEMA - TOMAHAWK")</f>
        <v>OGEMA - TOMAHAWK</v>
      </c>
      <c r="I90" s="1" t="str">
        <f>CLEAN("CULVERT REPLACEMENT C-50-0009")</f>
        <v>CULVERT REPLACEMENT C-50-0009</v>
      </c>
      <c r="J90" s="1" t="str">
        <f>CLEAN("CONST/RDMTN/CULVERT")</f>
        <v>CONST/RDMTN/CULVERT</v>
      </c>
    </row>
    <row r="91" spans="1:10" x14ac:dyDescent="0.25">
      <c r="A91" s="1" t="str">
        <f>CLEAN("1009-45-00")</f>
        <v>1009-45-00</v>
      </c>
      <c r="B91" s="1" t="str">
        <f>CLEAN("1601-13-60")</f>
        <v>1601-13-60</v>
      </c>
      <c r="C91" s="1">
        <v>2018</v>
      </c>
      <c r="D91" s="3">
        <v>42990</v>
      </c>
      <c r="E91" s="2" t="str">
        <f>CLEAN("VILAS")</f>
        <v>VILAS</v>
      </c>
      <c r="F91" s="1" t="str">
        <f>CLEAN("USH-045")</f>
        <v>USH-045</v>
      </c>
      <c r="G91" s="1">
        <v>0.64</v>
      </c>
      <c r="H91" s="1" t="str">
        <f>CLEAN("EAGLE RIVER - LAND O LAKES")</f>
        <v>EAGLE RIVER - LAND O LAKES</v>
      </c>
      <c r="I91" s="1" t="str">
        <f>CLEAN("CULVERT REPLACEMENT C-63-9709")</f>
        <v>CULVERT REPLACEMENT C-63-9709</v>
      </c>
      <c r="J91" s="1" t="str">
        <f>CLEAN("CONST/RDMTN/CULVERT")</f>
        <v>CONST/RDMTN/CULVERT</v>
      </c>
    </row>
    <row r="92" spans="1:10" x14ac:dyDescent="0.25">
      <c r="A92" s="1" t="str">
        <f>CLEAN("1170-19-00")</f>
        <v>1170-19-00</v>
      </c>
      <c r="B92" s="1" t="str">
        <f>CLEAN("1170-19-70")</f>
        <v>1170-19-70</v>
      </c>
      <c r="C92" s="1">
        <v>2018</v>
      </c>
      <c r="D92" s="3">
        <v>43081</v>
      </c>
      <c r="E92" s="2" t="str">
        <f>CLEAN("VILAS")</f>
        <v>VILAS</v>
      </c>
      <c r="F92" s="1" t="str">
        <f>CLEAN("USH-051")</f>
        <v>USH-051</v>
      </c>
      <c r="G92" s="1">
        <v>1.85</v>
      </c>
      <c r="H92" s="1" t="str">
        <f>CLEAN("MINOCQUA - MANITOWISH")</f>
        <v>MINOCQUA - MANITOWISH</v>
      </c>
      <c r="I92" s="1" t="str">
        <f>CLEAN("3RD AVE TO N JCT STH 70")</f>
        <v>3RD AVE TO N JCT STH 70</v>
      </c>
      <c r="J92" s="1" t="str">
        <f>CLEAN("CONST/RECONSTRUCT")</f>
        <v>CONST/RECONSTRUCT</v>
      </c>
    </row>
    <row r="93" spans="1:10" x14ac:dyDescent="0.25">
      <c r="A93" s="1" t="str">
        <f>CLEAN("1510-00-00")</f>
        <v>1510-00-00</v>
      </c>
      <c r="B93" s="1" t="str">
        <f>CLEAN("1510-00-70")</f>
        <v>1510-00-70</v>
      </c>
      <c r="C93" s="1">
        <v>2018</v>
      </c>
      <c r="D93" s="3">
        <v>43144</v>
      </c>
      <c r="E93" s="2" t="str">
        <f>CLEAN("WAUPACA")</f>
        <v>WAUPACA</v>
      </c>
      <c r="F93" s="1" t="str">
        <f>CLEAN("USH-010")</f>
        <v>USH-010</v>
      </c>
      <c r="G93" s="1">
        <v>5.54</v>
      </c>
      <c r="H93" s="1" t="str">
        <f>CLEAN("STEVENS POINT - WAUPACA")</f>
        <v>STEVENS POINT - WAUPACA</v>
      </c>
      <c r="I93" s="1" t="str">
        <f>CLEAN("ERICKSON RD TO STH 22/54 CTH A INT")</f>
        <v>ERICKSON RD TO STH 22/54 CTH A INT</v>
      </c>
      <c r="J93" s="1" t="str">
        <f>CLEAN("CONSTR/HSIP MEDIAN IMPROVEMENTS")</f>
        <v>CONSTR/HSIP MEDIAN IMPROVEMENTS</v>
      </c>
    </row>
    <row r="94" spans="1:10" x14ac:dyDescent="0.25">
      <c r="A94" s="1" t="str">
        <f>CLEAN("1510-00-01")</f>
        <v>1510-00-01</v>
      </c>
      <c r="B94" s="1" t="str">
        <f>CLEAN("1510-00-71")</f>
        <v>1510-00-71</v>
      </c>
      <c r="C94" s="1">
        <v>2018</v>
      </c>
      <c r="D94" s="3">
        <v>43144</v>
      </c>
      <c r="E94" s="2" t="str">
        <f>CLEAN("WAUPACA")</f>
        <v>WAUPACA</v>
      </c>
      <c r="F94" s="1" t="str">
        <f>CLEAN("USH-010")</f>
        <v>USH-010</v>
      </c>
      <c r="G94" s="1">
        <v>3.59</v>
      </c>
      <c r="H94" s="1" t="str">
        <f>CLEAN("WAUPACA - APPLETON")</f>
        <v>WAUPACA - APPLETON</v>
      </c>
      <c r="I94" s="1" t="str">
        <f>CLEAN("STH 22/54 INT TO EAST OF REEK ROAD")</f>
        <v>STH 22/54 INT TO EAST OF REEK ROAD</v>
      </c>
      <c r="J94" s="1" t="str">
        <f>CLEAN("CONSTR/MEDIAN BARRIERS")</f>
        <v>CONSTR/MEDIAN BARRIERS</v>
      </c>
    </row>
    <row r="95" spans="1:10" x14ac:dyDescent="0.25">
      <c r="A95" s="1" t="str">
        <f>CLEAN("6430-07-00")</f>
        <v>6430-07-00</v>
      </c>
      <c r="B95" s="1" t="str">
        <f>CLEAN("6430-07-71")</f>
        <v>6430-07-71</v>
      </c>
      <c r="C95" s="1">
        <v>2018</v>
      </c>
      <c r="D95" s="3">
        <v>43172</v>
      </c>
      <c r="E95" s="2" t="str">
        <f>CLEAN("WAUPACA")</f>
        <v>WAUPACA</v>
      </c>
      <c r="F95" s="1" t="str">
        <f>CLEAN("USH-045")</f>
        <v>USH-045</v>
      </c>
      <c r="G95" s="1">
        <v>0.91</v>
      </c>
      <c r="H95" s="1" t="str">
        <f>CLEAN("WINCHESTER - NEW LONDON")</f>
        <v>WINCHESTER - NEW LONDON</v>
      </c>
      <c r="I95" s="1" t="str">
        <f>CLEAN("STH 96 &amp; USH 45 INTERSECTION")</f>
        <v>STH 96 &amp; USH 45 INTERSECTION</v>
      </c>
      <c r="J95" s="1" t="str">
        <f>CLEAN("CONSTR/RECONSTRUCT")</f>
        <v>CONSTR/RECONSTRUCT</v>
      </c>
    </row>
    <row r="96" spans="1:10" x14ac:dyDescent="0.25">
      <c r="A96" s="1" t="str">
        <f>CLEAN("1160-01-06")</f>
        <v>1160-01-06</v>
      </c>
      <c r="B96" s="1" t="str">
        <f>CLEAN("1160-01-76")</f>
        <v>1160-01-76</v>
      </c>
      <c r="C96" s="1">
        <v>2018</v>
      </c>
      <c r="D96" s="3">
        <v>42955</v>
      </c>
      <c r="E96" s="2" t="str">
        <f>CLEAN("WAUSHARA")</f>
        <v>WAUSHARA</v>
      </c>
      <c r="F96" s="1" t="str">
        <f>CLEAN("IH -039")</f>
        <v>IH -039</v>
      </c>
      <c r="G96" s="1">
        <v>0</v>
      </c>
      <c r="H96" s="1" t="str">
        <f>CLEAN("PACKWAUKEE - COLOMA")</f>
        <v>PACKWAUKEE - COLOMA</v>
      </c>
      <c r="I96" s="1" t="str">
        <f>CLEAN("CZECH AVENUE BRIDGE SB B-69-018")</f>
        <v>CZECH AVENUE BRIDGE SB B-69-018</v>
      </c>
      <c r="J96" s="1" t="str">
        <f>CLEAN("CONST/HSIP")</f>
        <v>CONST/HSIP</v>
      </c>
    </row>
    <row r="97" spans="1:10" x14ac:dyDescent="0.25">
      <c r="A97" s="1" t="str">
        <f>CLEAN("1166-06-34")</f>
        <v>1166-06-34</v>
      </c>
      <c r="B97" s="1" t="str">
        <f>CLEAN("1166-06-64")</f>
        <v>1166-06-64</v>
      </c>
      <c r="C97" s="1">
        <v>2018</v>
      </c>
      <c r="D97" s="3">
        <v>42955</v>
      </c>
      <c r="E97" s="2" t="str">
        <f>CLEAN("WAUSHARA")</f>
        <v>WAUSHARA</v>
      </c>
      <c r="F97" s="1" t="str">
        <f>CLEAN("IH -039")</f>
        <v>IH -039</v>
      </c>
      <c r="G97" s="1">
        <v>0</v>
      </c>
      <c r="H97" s="1" t="str">
        <f>CLEAN("COLOMA - PLAINFIELD")</f>
        <v>COLOMA - PLAINFIELD</v>
      </c>
      <c r="I97" s="1" t="str">
        <f>CLEAN("B-69-13  15  16  22  23")</f>
        <v>B-69-13  15  16  22  23</v>
      </c>
      <c r="J97" s="1" t="str">
        <f>CLEAN("PREVENTATIVE MAINTENANCE")</f>
        <v>PREVENTATIVE MAINTENANCE</v>
      </c>
    </row>
    <row r="98" spans="1:10" x14ac:dyDescent="0.25">
      <c r="A98" s="1" t="str">
        <f>CLEAN("6170-00-00")</f>
        <v>6170-00-00</v>
      </c>
      <c r="B98" s="1" t="str">
        <f>CLEAN("6170-00-70")</f>
        <v>6170-00-70</v>
      </c>
      <c r="C98" s="1">
        <v>2018</v>
      </c>
      <c r="D98" s="3">
        <v>43081</v>
      </c>
      <c r="E98" s="2" t="str">
        <f>CLEAN("WAUSHARA")</f>
        <v>WAUSHARA</v>
      </c>
      <c r="F98" s="1" t="str">
        <f>CLEAN("STH-021")</f>
        <v>STH-021</v>
      </c>
      <c r="G98" s="1">
        <v>12.99</v>
      </c>
      <c r="H98" s="1" t="str">
        <f>CLEAN("COLOMA - REDGRANITE")</f>
        <v>COLOMA - REDGRANITE</v>
      </c>
      <c r="I98" s="1" t="str">
        <f>CLEAN("I39 TO STH 22")</f>
        <v>I39 TO STH 22</v>
      </c>
      <c r="J98" s="1" t="str">
        <f>CLEAN("CONST/RESURFACE")</f>
        <v>CONST/RESURFACE</v>
      </c>
    </row>
    <row r="99" spans="1:10" x14ac:dyDescent="0.25">
      <c r="D99" s="3"/>
    </row>
    <row r="100" spans="1:10" x14ac:dyDescent="0.25">
      <c r="A100" s="1" t="str">
        <f>CLEAN("1009-44-36")</f>
        <v>1009-44-36</v>
      </c>
      <c r="B100" s="1" t="str">
        <f>CLEAN("9260-01-61")</f>
        <v>9260-01-61</v>
      </c>
      <c r="C100" s="1">
        <v>2019</v>
      </c>
      <c r="D100" s="3">
        <v>43417</v>
      </c>
      <c r="E100" s="2" t="str">
        <f>CLEAN("FOREST")</f>
        <v>FOREST</v>
      </c>
      <c r="F100" s="1" t="str">
        <f>CLEAN("STH-032")</f>
        <v>STH-032</v>
      </c>
      <c r="G100" s="1">
        <v>0</v>
      </c>
      <c r="H100" s="1" t="str">
        <f>CLEAN("CRANDON - THREE LAKES")</f>
        <v>CRANDON - THREE LAKES</v>
      </c>
      <c r="I100" s="1" t="str">
        <f>CLEAN("BRIDGE MAINTENANCE B-21-0015")</f>
        <v>BRIDGE MAINTENANCE B-21-0015</v>
      </c>
      <c r="J100" s="1" t="str">
        <f>CLEAN("CONST/PREV MAINT APPRVL 9/10/2015")</f>
        <v>CONST/PREV MAINT APPRVL 9/10/2015</v>
      </c>
    </row>
    <row r="101" spans="1:10" x14ac:dyDescent="0.25">
      <c r="A101" s="1" t="str">
        <f>CLEAN("1602-08-31")</f>
        <v>1602-08-31</v>
      </c>
      <c r="B101" s="1" t="str">
        <f>CLEAN("1602-08-61")</f>
        <v>1602-08-61</v>
      </c>
      <c r="C101" s="1">
        <v>2019</v>
      </c>
      <c r="D101" s="3">
        <v>43473</v>
      </c>
      <c r="E101" s="2" t="str">
        <f>CLEAN("LANGLADE")</f>
        <v>LANGLADE</v>
      </c>
      <c r="F101" s="1" t="str">
        <f>CLEAN("USH-045")</f>
        <v>USH-045</v>
      </c>
      <c r="G101" s="1">
        <v>4.0199999999999996</v>
      </c>
      <c r="H101" s="1" t="str">
        <f>CLEAN("WITTENBERG - ANTIGO")</f>
        <v>WITTENBERG - ANTIGO</v>
      </c>
      <c r="I101" s="1" t="str">
        <f>CLEAN("BIRCH ROAD TO MAPLE VIEW ROAD")</f>
        <v>BIRCH ROAD TO MAPLE VIEW ROAD</v>
      </c>
      <c r="J101" s="1" t="str">
        <f>CLEAN("CONST/PREV MAINT APPROVAL 6/1/11")</f>
        <v>CONST/PREV MAINT APPROVAL 6/1/11</v>
      </c>
    </row>
    <row r="102" spans="1:10" x14ac:dyDescent="0.25">
      <c r="A102" s="1" t="str">
        <f>CLEAN("1009-44-36")</f>
        <v>1009-44-36</v>
      </c>
      <c r="B102" s="1" t="str">
        <f>CLEAN("9000-13-61")</f>
        <v>9000-13-61</v>
      </c>
      <c r="C102" s="1">
        <v>2019</v>
      </c>
      <c r="D102" s="3">
        <v>43417</v>
      </c>
      <c r="E102" s="2" t="str">
        <f>CLEAN("LINCOLN")</f>
        <v>LINCOLN</v>
      </c>
      <c r="F102" s="1" t="str">
        <f>CLEAN("STH-064")</f>
        <v>STH-064</v>
      </c>
      <c r="G102" s="1">
        <v>0</v>
      </c>
      <c r="H102" s="1" t="str">
        <f>CLEAN("MERRILL - ANTIGO")</f>
        <v>MERRILL - ANTIGO</v>
      </c>
      <c r="I102" s="1" t="str">
        <f>CLEAN("BRIDGE MAINTENANCE B-35-0002")</f>
        <v>BRIDGE MAINTENANCE B-35-0002</v>
      </c>
      <c r="J102" s="1" t="str">
        <f>CLEAN("CONST/PREV MAINT APPRVL 9/10/2015")</f>
        <v>CONST/PREV MAINT APPRVL 9/10/2015</v>
      </c>
    </row>
    <row r="103" spans="1:10" x14ac:dyDescent="0.25">
      <c r="A103" s="1" t="str">
        <f>CLEAN("9010-03-30")</f>
        <v>9010-03-30</v>
      </c>
      <c r="B103" s="1" t="str">
        <f>CLEAN("9010-03-60")</f>
        <v>9010-03-60</v>
      </c>
      <c r="C103" s="1">
        <v>2019</v>
      </c>
      <c r="D103" s="3">
        <v>43417</v>
      </c>
      <c r="E103" s="2" t="str">
        <f>CLEAN("MARATHON")</f>
        <v>MARATHON</v>
      </c>
      <c r="F103" s="1" t="str">
        <f>CLEAN("STH-052")</f>
        <v>STH-052</v>
      </c>
      <c r="G103" s="1">
        <v>14.08</v>
      </c>
      <c r="H103" s="1" t="str">
        <f>CLEAN("WAUSAU - ANIWA")</f>
        <v>WAUSAU - ANIWA</v>
      </c>
      <c r="I103" s="1" t="str">
        <f>CLEAN("ELM ROAD TO USH 45")</f>
        <v>ELM ROAD TO USH 45</v>
      </c>
      <c r="J103" s="1" t="str">
        <f>CLEAN("CONST/PREV MAINT APPRVL 2/10/15")</f>
        <v>CONST/PREV MAINT APPRVL 2/10/15</v>
      </c>
    </row>
    <row r="104" spans="1:10" x14ac:dyDescent="0.25">
      <c r="A104" s="1" t="str">
        <f>CLEAN("9474-01-00")</f>
        <v>9474-01-00</v>
      </c>
      <c r="B104" s="1" t="str">
        <f>CLEAN("9474-01-70")</f>
        <v>9474-01-70</v>
      </c>
      <c r="C104" s="1">
        <v>2019</v>
      </c>
      <c r="D104" s="3">
        <v>43445</v>
      </c>
      <c r="E104" s="2" t="str">
        <f>CLEAN("MARATHON")</f>
        <v>MARATHON</v>
      </c>
      <c r="F104" s="1" t="str">
        <f>CLEAN("CTH-WW")</f>
        <v>CTH-WW</v>
      </c>
      <c r="G104" s="1">
        <v>7.0999999999999994E-2</v>
      </c>
      <c r="H104" s="1" t="str">
        <f>CLEAN("V BROKAW  CTH WW")</f>
        <v>V BROKAW  CTH WW</v>
      </c>
      <c r="I104" s="1" t="str">
        <f>CLEAN("WISCONSIN RIVER BRIDGE  B-37-0111")</f>
        <v>WISCONSIN RIVER BRIDGE  B-37-0111</v>
      </c>
      <c r="J104" s="1" t="str">
        <f>CLEAN("CONST/REHAB DECK REPLACEMENT")</f>
        <v>CONST/REHAB DECK REPLACEMENT</v>
      </c>
    </row>
    <row r="105" spans="1:10" x14ac:dyDescent="0.25">
      <c r="A105" s="1" t="str">
        <f>CLEAN("1430-00-07")</f>
        <v>1430-00-07</v>
      </c>
      <c r="B105" s="1" t="str">
        <f>CLEAN("1430-00-77")</f>
        <v>1430-00-77</v>
      </c>
      <c r="C105" s="1">
        <v>2019</v>
      </c>
      <c r="D105" s="3">
        <v>43473</v>
      </c>
      <c r="E105" s="2" t="str">
        <f>CLEAN("MARQUETTE")</f>
        <v>MARQUETTE</v>
      </c>
      <c r="F105" s="1" t="str">
        <f>CLEAN("STH-023")</f>
        <v>STH-023</v>
      </c>
      <c r="G105" s="1">
        <v>0.13</v>
      </c>
      <c r="H105" s="1" t="str">
        <f>CLEAN("CITY OF MONTELLO  UNDERWOOD AVENUE")</f>
        <v>CITY OF MONTELLO  UNDERWOOD AVENUE</v>
      </c>
      <c r="I105" s="1" t="str">
        <f>CLEAN("PARK STREET TO WEST STREET")</f>
        <v>PARK STREET TO WEST STREET</v>
      </c>
      <c r="J105" s="1" t="str">
        <f>CLEAN("CONST/RECONSTRUCT")</f>
        <v>CONST/RECONSTRUCT</v>
      </c>
    </row>
    <row r="106" spans="1:10" x14ac:dyDescent="0.25">
      <c r="A106" s="1" t="str">
        <f>CLEAN("1430-00-07")</f>
        <v>1430-00-07</v>
      </c>
      <c r="B106" s="1" t="str">
        <f>CLEAN("1430-00-87")</f>
        <v>1430-00-87</v>
      </c>
      <c r="C106" s="1">
        <v>2019</v>
      </c>
      <c r="D106" s="3">
        <v>43473</v>
      </c>
      <c r="E106" s="2" t="str">
        <f>CLEAN("MARQUETTE")</f>
        <v>MARQUETTE</v>
      </c>
      <c r="F106" s="1" t="str">
        <f>CLEAN("STH-023")</f>
        <v>STH-023</v>
      </c>
      <c r="G106" s="1">
        <v>0.13</v>
      </c>
      <c r="H106" s="1" t="str">
        <f>CLEAN("CITY OF MONTELLO  UNDERWOOD AVENUE")</f>
        <v>CITY OF MONTELLO  UNDERWOOD AVENUE</v>
      </c>
      <c r="I106" s="1" t="str">
        <f>CLEAN("PARK STREET TO WEST STREET")</f>
        <v>PARK STREET TO WEST STREET</v>
      </c>
      <c r="J106" s="1" t="str">
        <f>CLEAN("CONST/RECONSTRUCT/LOCAL UTILITY")</f>
        <v>CONST/RECONSTRUCT/LOCAL UTILITY</v>
      </c>
    </row>
    <row r="107" spans="1:10" x14ac:dyDescent="0.25">
      <c r="A107" s="1" t="str">
        <f>CLEAN("1430-00-09")</f>
        <v>1430-00-09</v>
      </c>
      <c r="B107" s="1" t="str">
        <f>CLEAN("1430-00-79")</f>
        <v>1430-00-79</v>
      </c>
      <c r="C107" s="1">
        <v>2019</v>
      </c>
      <c r="D107" s="3">
        <v>43473</v>
      </c>
      <c r="E107" s="2" t="str">
        <f>CLEAN("MARQUETTE")</f>
        <v>MARQUETTE</v>
      </c>
      <c r="F107" s="1" t="str">
        <f>CLEAN("STH-023")</f>
        <v>STH-023</v>
      </c>
      <c r="G107" s="1">
        <v>0.63200000000000001</v>
      </c>
      <c r="H107" s="1" t="str">
        <f>CLEAN("CITY OF MONTELLO  UNDERWOOD AVENUE")</f>
        <v>CITY OF MONTELLO  UNDERWOOD AVENUE</v>
      </c>
      <c r="I107" s="1" t="str">
        <f>CLEAN("MORNINGSIDE COURT TO PARK STREET")</f>
        <v>MORNINGSIDE COURT TO PARK STREET</v>
      </c>
      <c r="J107" s="1" t="str">
        <f>CLEAN("CONST/RECONSTRUCTION")</f>
        <v>CONST/RECONSTRUCTION</v>
      </c>
    </row>
    <row r="108" spans="1:10" x14ac:dyDescent="0.25">
      <c r="A108" s="1" t="str">
        <f>CLEAN("1430-00-09")</f>
        <v>1430-00-09</v>
      </c>
      <c r="B108" s="1" t="str">
        <f>CLEAN("1430-00-89")</f>
        <v>1430-00-89</v>
      </c>
      <c r="C108" s="1">
        <v>2019</v>
      </c>
      <c r="D108" s="3">
        <v>43473</v>
      </c>
      <c r="E108" s="2" t="str">
        <f>CLEAN("MARQUETTE")</f>
        <v>MARQUETTE</v>
      </c>
      <c r="F108" s="1" t="str">
        <f>CLEAN("STH-023")</f>
        <v>STH-023</v>
      </c>
      <c r="G108" s="1">
        <v>0.63100000000000001</v>
      </c>
      <c r="H108" s="1" t="str">
        <f>CLEAN("CITY OF MONTELLO  UNDERWOOD AVENUE")</f>
        <v>CITY OF MONTELLO  UNDERWOOD AVENUE</v>
      </c>
      <c r="I108" s="1" t="str">
        <f>CLEAN("MORNINGSIDE COURT TO PARK STREET")</f>
        <v>MORNINGSIDE COURT TO PARK STREET</v>
      </c>
      <c r="J108" s="1" t="str">
        <f>CLEAN("CONST/LOCAL UTILITY")</f>
        <v>CONST/LOCAL UTILITY</v>
      </c>
    </row>
    <row r="109" spans="1:10" x14ac:dyDescent="0.25">
      <c r="A109" s="1" t="str">
        <f>CLEAN("9650-17-00")</f>
        <v>9650-17-00</v>
      </c>
      <c r="B109" s="1" t="str">
        <f>CLEAN("9650-17-70")</f>
        <v>9650-17-70</v>
      </c>
      <c r="C109" s="1">
        <v>2019</v>
      </c>
      <c r="D109" s="3">
        <v>43508</v>
      </c>
      <c r="E109" s="2" t="str">
        <f>CLEAN("MENOMINEE")</f>
        <v>MENOMINEE</v>
      </c>
      <c r="F109" s="1" t="str">
        <f>CLEAN("STH-047")</f>
        <v>STH-047</v>
      </c>
      <c r="G109" s="1">
        <v>2.74</v>
      </c>
      <c r="H109" s="1" t="str">
        <f>CLEAN("SHAWANO - NEOPIT")</f>
        <v>SHAWANO - NEOPIT</v>
      </c>
      <c r="I109" s="1" t="str">
        <f>CLEAN("DUQUAINE RD TO N JCT OF CTH VV")</f>
        <v>DUQUAINE RD TO N JCT OF CTH VV</v>
      </c>
      <c r="J109" s="1" t="str">
        <f>CLEAN("CONST/RECONDITION")</f>
        <v>CONST/RECONDITION</v>
      </c>
    </row>
    <row r="110" spans="1:10" ht="30" x14ac:dyDescent="0.25">
      <c r="A110" s="1" t="str">
        <f>CLEAN("1009-42-48")</f>
        <v>1009-42-48</v>
      </c>
      <c r="B110" s="1" t="str">
        <f>CLEAN("1009-42-49")</f>
        <v>1009-42-49</v>
      </c>
      <c r="C110" s="1">
        <v>2019</v>
      </c>
      <c r="D110" s="3">
        <v>43536</v>
      </c>
      <c r="E110" s="2" t="str">
        <f>CLEAN("REGION WIDE")</f>
        <v>REGION WIDE</v>
      </c>
      <c r="F110" s="1" t="str">
        <f>CLEAN("VAR-HWY")</f>
        <v>VAR-HWY</v>
      </c>
      <c r="G110" s="1">
        <v>0</v>
      </c>
      <c r="H110" s="1" t="str">
        <f>CLEAN("NC REGION  EPOXY PAVEMENT MARKING")</f>
        <v>NC REGION  EPOXY PAVEMENT MARKING</v>
      </c>
      <c r="I110" s="1" t="str">
        <f>CLEAN("LOCATIONS ON STN PER ANNUAL PLAN")</f>
        <v>LOCATIONS ON STN PER ANNUAL PLAN</v>
      </c>
      <c r="J110" s="1" t="str">
        <f>CLEAN("REGION WIDE/TRF OPS- PAVMT MARKING")</f>
        <v>REGION WIDE/TRF OPS- PAVMT MARKING</v>
      </c>
    </row>
    <row r="111" spans="1:10" ht="30" x14ac:dyDescent="0.25">
      <c r="A111" s="1" t="str">
        <f>CLEAN("1009-44-35")</f>
        <v>1009-44-35</v>
      </c>
      <c r="B111" s="1" t="str">
        <f>CLEAN("1009-44-68")</f>
        <v>1009-44-68</v>
      </c>
      <c r="C111" s="1">
        <v>2019</v>
      </c>
      <c r="D111" s="3">
        <v>43326</v>
      </c>
      <c r="E111" s="2" t="str">
        <f>CLEAN("REGION WIDE")</f>
        <v>REGION WIDE</v>
      </c>
      <c r="F111" s="1" t="str">
        <f>CLEAN("VAR-HWY")</f>
        <v>VAR-HWY</v>
      </c>
      <c r="G111" s="1">
        <v>0</v>
      </c>
      <c r="H111" s="1" t="str">
        <f>CLEAN("REGIONWIDE BRIDGE MAINTENANCE")</f>
        <v>REGIONWIDE BRIDGE MAINTENANCE</v>
      </c>
      <c r="I111" s="1" t="str">
        <f>CLEAN("LOCATIONS ON STN PER ANNUAL PLAN")</f>
        <v>LOCATIONS ON STN PER ANNUAL PLAN</v>
      </c>
      <c r="J111" s="1" t="str">
        <f>CLEAN("CONST/PREV MAINT APPRVL 9/10/2015")</f>
        <v>CONST/PREV MAINT APPRVL 9/10/2015</v>
      </c>
    </row>
    <row r="112" spans="1:10" x14ac:dyDescent="0.25">
      <c r="A112" s="1" t="str">
        <f>CLEAN("1009-44-35")</f>
        <v>1009-44-35</v>
      </c>
      <c r="B112" s="1" t="str">
        <f>CLEAN("1170-16-62")</f>
        <v>1170-16-62</v>
      </c>
      <c r="C112" s="1">
        <v>2019</v>
      </c>
      <c r="D112" s="3">
        <v>43326</v>
      </c>
      <c r="E112" s="2" t="str">
        <f>CLEAN("ONEIDA")</f>
        <v>ONEIDA</v>
      </c>
      <c r="F112" s="1" t="str">
        <f>CLEAN("USH-051")</f>
        <v>USH-051</v>
      </c>
      <c r="G112" s="1">
        <v>0</v>
      </c>
      <c r="H112" s="1" t="str">
        <f>CLEAN("TOMAHAWK - MINOCQUA")</f>
        <v>TOMAHAWK - MINOCQUA</v>
      </c>
      <c r="I112" s="1" t="str">
        <f>CLEAN("BRIDGE MAINTENANCE B-43-0018")</f>
        <v>BRIDGE MAINTENANCE B-43-0018</v>
      </c>
      <c r="J112" s="1" t="str">
        <f>CLEAN("CONST/PREV MAINT APPRVL 9/10/2015")</f>
        <v>CONST/PREV MAINT APPRVL 9/10/2015</v>
      </c>
    </row>
    <row r="113" spans="1:10" x14ac:dyDescent="0.25">
      <c r="A113" s="1" t="str">
        <f>CLEAN("1590-14-01")</f>
        <v>1590-14-01</v>
      </c>
      <c r="B113" s="1" t="str">
        <f>CLEAN("1590-14-71")</f>
        <v>1590-14-71</v>
      </c>
      <c r="C113" s="1">
        <v>2019</v>
      </c>
      <c r="D113" s="3">
        <v>43473</v>
      </c>
      <c r="E113" s="2" t="str">
        <f>CLEAN("ONEIDA")</f>
        <v>ONEIDA</v>
      </c>
      <c r="F113" s="1" t="str">
        <f>CLEAN("USH-008")</f>
        <v>USH-008</v>
      </c>
      <c r="G113" s="1">
        <v>0.74399999999999999</v>
      </c>
      <c r="H113" s="1" t="str">
        <f>CLEAN("BRADLEY - RHINELANDER")</f>
        <v>BRADLEY - RHINELANDER</v>
      </c>
      <c r="I113" s="1" t="str">
        <f>CLEAN("USH 8 &amp; STH 47 INTERSECTION")</f>
        <v>USH 8 &amp; STH 47 INTERSECTION</v>
      </c>
      <c r="J113" s="1" t="str">
        <f>CLEAN("CONST/RECONSTRUCT")</f>
        <v>CONST/RECONSTRUCT</v>
      </c>
    </row>
    <row r="114" spans="1:10" x14ac:dyDescent="0.25">
      <c r="A114" s="1" t="str">
        <f>CLEAN("9070-05-03")</f>
        <v>9070-05-03</v>
      </c>
      <c r="B114" s="1" t="str">
        <f>CLEAN("9070-05-73")</f>
        <v>9070-05-73</v>
      </c>
      <c r="C114" s="1">
        <v>2019</v>
      </c>
      <c r="D114" s="3">
        <v>43655</v>
      </c>
      <c r="E114" s="2" t="str">
        <f>CLEAN("ONEIDA")</f>
        <v>ONEIDA</v>
      </c>
      <c r="F114" s="1" t="str">
        <f>CLEAN("STH-070")</f>
        <v>STH-070</v>
      </c>
      <c r="G114" s="1">
        <v>1.3580000000000001</v>
      </c>
      <c r="H114" s="1" t="str">
        <f>CLEAN("FIFIELD - WOODRUFF")</f>
        <v>FIFIELD - WOODRUFF</v>
      </c>
      <c r="I114" s="1" t="str">
        <f>CLEAN("MORGAN ROAD TO USH 51")</f>
        <v>MORGAN ROAD TO USH 51</v>
      </c>
      <c r="J114" s="1" t="str">
        <f>CLEAN("CONST/RESUFACE")</f>
        <v>CONST/RESUFACE</v>
      </c>
    </row>
    <row r="115" spans="1:10" x14ac:dyDescent="0.25">
      <c r="A115" s="1" t="str">
        <f>CLEAN("1580-30-03")</f>
        <v>1580-30-03</v>
      </c>
      <c r="B115" s="1" t="str">
        <f>CLEAN("1580-30-73")</f>
        <v>1580-30-73</v>
      </c>
      <c r="C115" s="1">
        <v>2019</v>
      </c>
      <c r="D115" s="3">
        <v>43354</v>
      </c>
      <c r="E115" s="2" t="str">
        <f>CLEAN("PRICE")</f>
        <v>PRICE</v>
      </c>
      <c r="F115" s="1" t="str">
        <f>CLEAN("USH-008")</f>
        <v>USH-008</v>
      </c>
      <c r="G115" s="1">
        <v>0</v>
      </c>
      <c r="H115" s="1" t="str">
        <f>CLEAN("PRENTICE - BRADLEY")</f>
        <v>PRENTICE - BRADLEY</v>
      </c>
      <c r="I115" s="1" t="str">
        <f>CLEAN("BRIDGE DECK REPLACEMENT B-50-32  33")</f>
        <v>BRIDGE DECK REPLACEMENT B-50-32  33</v>
      </c>
      <c r="J115" s="1" t="str">
        <f>CLEAN("CONST/DECK REPLACEMENT")</f>
        <v>CONST/DECK REPLACEMENT</v>
      </c>
    </row>
    <row r="116" spans="1:10" x14ac:dyDescent="0.25">
      <c r="A116" s="1" t="str">
        <f>CLEAN("9180-23-01")</f>
        <v>9180-23-01</v>
      </c>
      <c r="B116" s="1" t="str">
        <f>CLEAN("9180-23-71")</f>
        <v>9180-23-71</v>
      </c>
      <c r="C116" s="1">
        <v>2019</v>
      </c>
      <c r="D116" s="3">
        <v>43445</v>
      </c>
      <c r="E116" s="2" t="str">
        <f>CLEAN("SHAWANO")</f>
        <v>SHAWANO</v>
      </c>
      <c r="F116" s="1" t="str">
        <f>CLEAN("STH-022")</f>
        <v>STH-022</v>
      </c>
      <c r="G116" s="1">
        <v>1.19</v>
      </c>
      <c r="H116" s="1" t="str">
        <f>CLEAN("C SHAWANO  S MAIN &amp; E GREEN BAY STR")</f>
        <v>C SHAWANO  S MAIN &amp; E GREEN BAY STR</v>
      </c>
      <c r="I116" s="1" t="str">
        <f>CLEAN("CTH B - ZINGLER &amp; CTH HHH - CTH BE")</f>
        <v>CTH B - ZINGLER &amp; CTH HHH - CTH BE</v>
      </c>
      <c r="J116" s="1" t="str">
        <f>CLEAN("CONST/RESURFACE")</f>
        <v>CONST/RESURFACE</v>
      </c>
    </row>
    <row r="117" spans="1:10" x14ac:dyDescent="0.25">
      <c r="A117" s="1" t="str">
        <f>CLEAN("9180-23-02")</f>
        <v>9180-23-02</v>
      </c>
      <c r="B117" s="1" t="str">
        <f>CLEAN("9180-23-72")</f>
        <v>9180-23-72</v>
      </c>
      <c r="C117" s="1">
        <v>2019</v>
      </c>
      <c r="D117" s="3">
        <v>43445</v>
      </c>
      <c r="E117" s="2" t="str">
        <f>CLEAN("SHAWANO")</f>
        <v>SHAWANO</v>
      </c>
      <c r="F117" s="1" t="str">
        <f>CLEAN("STH-022")</f>
        <v>STH-022</v>
      </c>
      <c r="G117" s="1">
        <v>2</v>
      </c>
      <c r="H117" s="1" t="str">
        <f>CLEAN("C SHAWANO  GREEN BAY STREET")</f>
        <v>C SHAWANO  GREEN BAY STREET</v>
      </c>
      <c r="I117" s="1" t="str">
        <f>CLEAN("MAIN STREET TO CTH HHH")</f>
        <v>MAIN STREET TO CTH HHH</v>
      </c>
      <c r="J117" s="1" t="str">
        <f>CLEAN("CONST/RESURFACE")</f>
        <v>CONST/RESURFACE</v>
      </c>
    </row>
    <row r="118" spans="1:10" x14ac:dyDescent="0.25">
      <c r="A118" s="1" t="str">
        <f>CLEAN("1601-14-02")</f>
        <v>1601-14-02</v>
      </c>
      <c r="B118" s="1" t="str">
        <f>CLEAN("1601-14-72")</f>
        <v>1601-14-72</v>
      </c>
      <c r="C118" s="1">
        <v>2019</v>
      </c>
      <c r="D118" s="3">
        <v>43326</v>
      </c>
      <c r="E118" s="2" t="str">
        <f>CLEAN("VILAS")</f>
        <v>VILAS</v>
      </c>
      <c r="F118" s="1" t="str">
        <f>CLEAN("USH-045")</f>
        <v>USH-045</v>
      </c>
      <c r="G118" s="1">
        <v>2.92</v>
      </c>
      <c r="H118" s="1" t="str">
        <f>CLEAN("MONICO - EAGLE RIVER")</f>
        <v>MONICO - EAGLE RIVER</v>
      </c>
      <c r="I118" s="1" t="str">
        <f>CLEAN("STH 70 WEST TO CHAIN O LAKES ROAD")</f>
        <v>STH 70 WEST TO CHAIN O LAKES ROAD</v>
      </c>
      <c r="J118" s="1" t="str">
        <f>CLEAN("CONST/RESURFACE")</f>
        <v>CONST/RESURFACE</v>
      </c>
    </row>
    <row r="119" spans="1:10" x14ac:dyDescent="0.25">
      <c r="A119" s="1" t="str">
        <f>CLEAN("1009-42-10")</f>
        <v>1009-42-10</v>
      </c>
      <c r="B119" s="1" t="str">
        <f>CLEAN("1009-42-73")</f>
        <v>1009-42-73</v>
      </c>
      <c r="C119" s="1">
        <v>2019</v>
      </c>
      <c r="D119" s="3">
        <v>43445</v>
      </c>
      <c r="E119" s="2" t="str">
        <f>CLEAN("WAUPACA")</f>
        <v>WAUPACA</v>
      </c>
      <c r="F119" s="1" t="str">
        <f>CLEAN("VAR-HWY")</f>
        <v>VAR-HWY</v>
      </c>
      <c r="G119" s="1">
        <v>0.08</v>
      </c>
      <c r="H119" s="1" t="str">
        <f>CLEAN("WAUPACA CTY WIDE CULVERT REPLACEMNT")</f>
        <v>WAUPACA CTY WIDE CULVERT REPLACEMNT</v>
      </c>
      <c r="I119" s="1" t="str">
        <f>CLEAN("C-68-9014/0034 AND C-68-0015/0035")</f>
        <v>C-68-9014/0034 AND C-68-0015/0035</v>
      </c>
      <c r="J119" s="1" t="str">
        <f>CLEAN("CONSTR/CULVERT REPLACEMENT")</f>
        <v>CONSTR/CULVERT REPLACEMENT</v>
      </c>
    </row>
    <row r="120" spans="1:10" x14ac:dyDescent="0.25">
      <c r="A120" s="1" t="str">
        <f>CLEAN("6220-03-04")</f>
        <v>6220-03-04</v>
      </c>
      <c r="B120" s="1" t="str">
        <f>CLEAN("6220-03-74")</f>
        <v>6220-03-74</v>
      </c>
      <c r="C120" s="1">
        <v>2019</v>
      </c>
      <c r="D120" s="3">
        <v>43417</v>
      </c>
      <c r="E120" s="2" t="str">
        <f>CLEAN("WAUPACA")</f>
        <v>WAUPACA</v>
      </c>
      <c r="F120" s="1" t="str">
        <f>CLEAN("STH-054")</f>
        <v>STH-054</v>
      </c>
      <c r="G120" s="1">
        <v>4.42</v>
      </c>
      <c r="H120" s="1" t="str">
        <f>CLEAN("WAUPACA - NEW LONDON")</f>
        <v>WAUPACA - NEW LONDON</v>
      </c>
      <c r="I120" s="1" t="str">
        <f>CLEAN("E JCT STH 22 TO ROYALTON OVERHEAD")</f>
        <v>E JCT STH 22 TO ROYALTON OVERHEAD</v>
      </c>
      <c r="J120" s="1" t="str">
        <f>CLEAN("CONST/RESURFACE")</f>
        <v>CONST/RESURFACE</v>
      </c>
    </row>
    <row r="121" spans="1:10" x14ac:dyDescent="0.25">
      <c r="A121" s="1" t="str">
        <f>CLEAN("6270-00-33")</f>
        <v>6270-00-33</v>
      </c>
      <c r="B121" s="1" t="str">
        <f>CLEAN("6270-00-63")</f>
        <v>6270-00-63</v>
      </c>
      <c r="C121" s="1">
        <v>2019</v>
      </c>
      <c r="D121" s="3">
        <v>43536</v>
      </c>
      <c r="E121" s="2" t="str">
        <f>CLEAN("WAUPACA")</f>
        <v>WAUPACA</v>
      </c>
      <c r="F121" s="1" t="str">
        <f>CLEAN("STH-049")</f>
        <v>STH-049</v>
      </c>
      <c r="G121" s="1">
        <v>4.37</v>
      </c>
      <c r="H121" s="1" t="str">
        <f>CLEAN("WAUPACA - NORTHLAND")</f>
        <v>WAUPACA - NORTHLAND</v>
      </c>
      <c r="I121" s="1" t="str">
        <f>CLEAN("DEPOT STREET TO S JCT STH 161")</f>
        <v>DEPOT STREET TO S JCT STH 161</v>
      </c>
      <c r="J121" s="1" t="str">
        <f>CLEAN("CONST/SHRM STATE FUND APRVL 10/6/11")</f>
        <v>CONST/SHRM STATE FUND APRVL 10/6/11</v>
      </c>
    </row>
    <row r="122" spans="1:10" x14ac:dyDescent="0.25">
      <c r="A122" s="1" t="str">
        <f>CLEAN("6841-00-30")</f>
        <v>6841-00-30</v>
      </c>
      <c r="B122" s="1" t="str">
        <f>CLEAN("6841-00-60")</f>
        <v>6841-00-60</v>
      </c>
      <c r="C122" s="1">
        <v>2019</v>
      </c>
      <c r="D122" s="3">
        <v>43326</v>
      </c>
      <c r="E122" s="2" t="str">
        <f>CLEAN("WAUPACA")</f>
        <v>WAUPACA</v>
      </c>
      <c r="F122" s="1" t="str">
        <f>CLEAN("STH-110")</f>
        <v>STH-110</v>
      </c>
      <c r="G122" s="1">
        <v>0</v>
      </c>
      <c r="H122" s="1" t="str">
        <f>CLEAN("FREMONT - APPLETON")</f>
        <v>FREMONT - APPLETON</v>
      </c>
      <c r="I122" s="1" t="str">
        <f>CLEAN("WOLF RIVER BRIDGE B-68-31")</f>
        <v>WOLF RIVER BRIDGE B-68-31</v>
      </c>
      <c r="J122" s="1" t="str">
        <f>CLEAN("CONST/BR SHRM/PM APPROVED 9/10/15")</f>
        <v>CONST/BR SHRM/PM APPROVED 9/10/15</v>
      </c>
    </row>
    <row r="123" spans="1:10" x14ac:dyDescent="0.25">
      <c r="A123" s="1" t="str">
        <f>CLEAN("1009-42-10")</f>
        <v>1009-42-10</v>
      </c>
      <c r="B123" s="1" t="str">
        <f>CLEAN("1009-42-70")</f>
        <v>1009-42-70</v>
      </c>
      <c r="C123" s="1">
        <v>2019</v>
      </c>
      <c r="D123" s="3">
        <v>43445</v>
      </c>
      <c r="E123" s="2" t="str">
        <f>CLEAN("WOOD")</f>
        <v>WOOD</v>
      </c>
      <c r="F123" s="1" t="str">
        <f>CLEAN("VAR-HWY")</f>
        <v>VAR-HWY</v>
      </c>
      <c r="G123" s="1">
        <v>2.4E-2</v>
      </c>
      <c r="H123" s="1" t="str">
        <f>CLEAN("WOOD COUNTY WIDE CULVERT REPLACEMNT")</f>
        <v>WOOD COUNTY WIDE CULVERT REPLACEMNT</v>
      </c>
      <c r="I123" s="1" t="str">
        <f>CLEAN("C-71-9008/0045 AND C-71-0012/")</f>
        <v>C-71-9008/0045 AND C-71-0012/</v>
      </c>
      <c r="J123" s="1" t="str">
        <f>CLEAN("CONSTR/CULVERT REPLACEMENT")</f>
        <v>CONSTR/CULVERT REPLACEMENT</v>
      </c>
    </row>
    <row r="124" spans="1:10" x14ac:dyDescent="0.25">
      <c r="A124" s="1" t="str">
        <f>CLEAN("1009-44-36")</f>
        <v>1009-44-36</v>
      </c>
      <c r="B124" s="1" t="str">
        <f>CLEAN("6320-08-62")</f>
        <v>6320-08-62</v>
      </c>
      <c r="C124" s="1">
        <v>2019</v>
      </c>
      <c r="D124" s="3">
        <v>43417</v>
      </c>
      <c r="E124" s="2" t="str">
        <f>CLEAN("WOOD")</f>
        <v>WOOD</v>
      </c>
      <c r="F124" s="1" t="str">
        <f>CLEAN("STH-073")</f>
        <v>STH-073</v>
      </c>
      <c r="G124" s="1">
        <v>0</v>
      </c>
      <c r="H124" s="1" t="str">
        <f>CLEAN("PLAINFIELD - WISCONSIN RAPIDS")</f>
        <v>PLAINFIELD - WISCONSIN RAPIDS</v>
      </c>
      <c r="I124" s="1" t="str">
        <f>CLEAN("BRIDGE MAINTENANCE B-71-0018")</f>
        <v>BRIDGE MAINTENANCE B-71-0018</v>
      </c>
      <c r="J124" s="1" t="str">
        <f>CLEAN("CONST/PREV MAINT APPRVL 9/10/2015")</f>
        <v>CONST/PREV MAINT APPRVL 9/10/2015</v>
      </c>
    </row>
    <row r="125" spans="1:10" x14ac:dyDescent="0.25">
      <c r="A125" s="1" t="str">
        <f>CLEAN("6380-06-05")</f>
        <v>6380-06-05</v>
      </c>
      <c r="B125" s="1" t="str">
        <f>CLEAN("6380-06-75")</f>
        <v>6380-06-75</v>
      </c>
      <c r="C125" s="1">
        <v>2019</v>
      </c>
      <c r="D125" s="3">
        <v>43473</v>
      </c>
      <c r="E125" s="2" t="str">
        <f>CLEAN("WOOD")</f>
        <v>WOOD</v>
      </c>
      <c r="F125" s="1" t="str">
        <f>CLEAN("STH-097")</f>
        <v>STH-097</v>
      </c>
      <c r="G125" s="1">
        <v>0.49</v>
      </c>
      <c r="H125" s="1" t="str">
        <f>CLEAN("C MARSHFIELD  CENTRAL AVENUE")</f>
        <v>C MARSHFIELD  CENTRAL AVENUE</v>
      </c>
      <c r="I125" s="1" t="str">
        <f>CLEAN("ARNOLD STREET TO HARRISON STREET")</f>
        <v>ARNOLD STREET TO HARRISON STREET</v>
      </c>
      <c r="J125" s="1" t="str">
        <f>CLEAN("CONST/RESURFACE")</f>
        <v>CONST/RESURFACE</v>
      </c>
    </row>
    <row r="126" spans="1:10" x14ac:dyDescent="0.25">
      <c r="A126" s="1" t="str">
        <f>CLEAN("6999-03-10")</f>
        <v>6999-03-10</v>
      </c>
      <c r="B126" s="1" t="str">
        <f>CLEAN("6999-03-70")</f>
        <v>6999-03-70</v>
      </c>
      <c r="C126" s="1">
        <v>2019</v>
      </c>
      <c r="D126" s="3">
        <v>43473</v>
      </c>
      <c r="E126" s="2" t="str">
        <f>CLEAN("WOOD")</f>
        <v>WOOD</v>
      </c>
      <c r="F126" s="1" t="str">
        <f>CLEAN("STH-054")</f>
        <v>STH-054</v>
      </c>
      <c r="G126" s="1">
        <v>0.53</v>
      </c>
      <c r="H126" s="1" t="str">
        <f>CLEAN("C WISCONSIN RAPIDS  SECOND AVE SO")</f>
        <v>C WISCONSIN RAPIDS  SECOND AVE SO</v>
      </c>
      <c r="I126" s="1" t="str">
        <f>CLEAN("GAYNOR AVENUE TO STH 13")</f>
        <v>GAYNOR AVENUE TO STH 13</v>
      </c>
      <c r="J126" s="1" t="str">
        <f>CLEAN("CONSTR/RECONDITION")</f>
        <v>CONSTR/RECONDITION</v>
      </c>
    </row>
    <row r="127" spans="1:10" x14ac:dyDescent="0.25">
      <c r="D127" s="3"/>
    </row>
    <row r="128" spans="1:10" x14ac:dyDescent="0.25">
      <c r="A128" s="1" t="str">
        <f>CLEAN("9250-14-30")</f>
        <v>9250-14-30</v>
      </c>
      <c r="B128" s="1" t="str">
        <f>CLEAN("9250-14-60")</f>
        <v>9250-14-60</v>
      </c>
      <c r="C128" s="1">
        <v>2020</v>
      </c>
      <c r="D128" s="3">
        <v>43809</v>
      </c>
      <c r="E128" s="2" t="str">
        <f>CLEAN("IRON")</f>
        <v>IRON</v>
      </c>
      <c r="F128" s="1" t="str">
        <f>CLEAN("STH-077")</f>
        <v>STH-077</v>
      </c>
      <c r="G128" s="1">
        <v>10.47</v>
      </c>
      <c r="H128" s="1" t="str">
        <f>CLEAN("MELLEN - HURLEY")</f>
        <v>MELLEN - HURLEY</v>
      </c>
      <c r="I128" s="1" t="str">
        <f>CLEAN("UPSON LAKE ROAD TO MONTREAL")</f>
        <v>UPSON LAKE ROAD TO MONTREAL</v>
      </c>
      <c r="J128" s="1" t="str">
        <f>CLEAN("CONST/PREV MAINT APPROVAL 6/1/11")</f>
        <v>CONST/PREV MAINT APPROVAL 6/1/11</v>
      </c>
    </row>
    <row r="129" spans="1:10" x14ac:dyDescent="0.25">
      <c r="A129" s="1" t="str">
        <f>CLEAN("9250-15-00")</f>
        <v>9250-15-00</v>
      </c>
      <c r="B129" s="1" t="str">
        <f>CLEAN("9250-15-70")</f>
        <v>9250-15-70</v>
      </c>
      <c r="C129" s="1">
        <v>2020</v>
      </c>
      <c r="D129" s="3">
        <v>43809</v>
      </c>
      <c r="E129" s="2" t="str">
        <f>CLEAN("IRON")</f>
        <v>IRON</v>
      </c>
      <c r="F129" s="1" t="str">
        <f>CLEAN("STH-077")</f>
        <v>STH-077</v>
      </c>
      <c r="G129" s="1">
        <v>0.85</v>
      </c>
      <c r="H129" s="1" t="str">
        <f>CLEAN("MELLEN - HURLEY")</f>
        <v>MELLEN - HURLEY</v>
      </c>
      <c r="I129" s="1" t="str">
        <f>CLEAN("W BR MONTREAL RVR BRDG TO ODANAH RD")</f>
        <v>W BR MONTREAL RVR BRDG TO ODANAH RD</v>
      </c>
      <c r="J129" s="1" t="str">
        <f>CLEAN("CONST/RESURFACE")</f>
        <v>CONST/RESURFACE</v>
      </c>
    </row>
    <row r="130" spans="1:10" x14ac:dyDescent="0.25">
      <c r="A130" s="1" t="str">
        <f>CLEAN("9140-12-00")</f>
        <v>9140-12-00</v>
      </c>
      <c r="B130" s="1" t="str">
        <f>CLEAN("9140-12-70")</f>
        <v>9140-12-70</v>
      </c>
      <c r="C130" s="1">
        <v>2020</v>
      </c>
      <c r="D130" s="3">
        <v>43781</v>
      </c>
      <c r="E130" s="2" t="str">
        <f>CLEAN("LANGLADE")</f>
        <v>LANGLADE</v>
      </c>
      <c r="F130" s="1" t="str">
        <f>CLEAN("STH-052")</f>
        <v>STH-052</v>
      </c>
      <c r="G130" s="1">
        <v>0</v>
      </c>
      <c r="H130" s="1" t="str">
        <f>CLEAN("ANTIGO - LANGLADE")</f>
        <v>ANTIGO - LANGLADE</v>
      </c>
      <c r="I130" s="1" t="str">
        <f>CLEAN("SPRING BROOK BRIDGE B-34-0842")</f>
        <v>SPRING BROOK BRIDGE B-34-0842</v>
      </c>
      <c r="J130" s="1" t="str">
        <f>CLEAN("CONST/REPLACEMENT")</f>
        <v>CONST/REPLACEMENT</v>
      </c>
    </row>
    <row r="131" spans="1:10" x14ac:dyDescent="0.25">
      <c r="A131" s="1" t="str">
        <f>CLEAN("1009-44-37")</f>
        <v>1009-44-37</v>
      </c>
      <c r="B131" s="1" t="str">
        <f>CLEAN("1009-44-67")</f>
        <v>1009-44-67</v>
      </c>
      <c r="C131" s="1">
        <v>2020</v>
      </c>
      <c r="D131" s="3">
        <v>43935</v>
      </c>
      <c r="E131" s="2" t="str">
        <f>CLEAN("LINCOLN")</f>
        <v>LINCOLN</v>
      </c>
      <c r="F131" s="1" t="str">
        <f>CLEAN("VAR-HWY")</f>
        <v>VAR-HWY</v>
      </c>
      <c r="G131" s="1">
        <v>0</v>
      </c>
      <c r="H131" s="1" t="str">
        <f>CLEAN("LINCOLN COUNTY CULVERT REPLACEMENTS")</f>
        <v>LINCOLN COUNTY CULVERT REPLACEMENTS</v>
      </c>
      <c r="I131" s="1" t="str">
        <f>CLEAN("C-35-12  C-35-63  C-35-69")</f>
        <v>C-35-12  C-35-63  C-35-69</v>
      </c>
      <c r="J131" s="1" t="str">
        <f>CLEAN("CONST/PREV MAINT APPRVL 9/10/2015")</f>
        <v>CONST/PREV MAINT APPRVL 9/10/2015</v>
      </c>
    </row>
    <row r="132" spans="1:10" x14ac:dyDescent="0.25">
      <c r="A132" s="1" t="str">
        <f>CLEAN("1176-15-00")</f>
        <v>1176-15-00</v>
      </c>
      <c r="B132" s="1" t="str">
        <f>CLEAN("1176-15-70")</f>
        <v>1176-15-70</v>
      </c>
      <c r="C132" s="1">
        <v>2020</v>
      </c>
      <c r="D132" s="3">
        <v>43781</v>
      </c>
      <c r="E132" s="2" t="str">
        <f>CLEAN("LINCOLN")</f>
        <v>LINCOLN</v>
      </c>
      <c r="F132" s="1" t="str">
        <f>CLEAN("USH-051")</f>
        <v>USH-051</v>
      </c>
      <c r="G132" s="1">
        <v>0.51</v>
      </c>
      <c r="H132" s="1" t="str">
        <f>CLEAN("WAUSAU - MERRILL")</f>
        <v>WAUSAU - MERRILL</v>
      </c>
      <c r="I132" s="1" t="str">
        <f>CLEAN("STH 64 SB RAMP TO NB RAMP")</f>
        <v>STH 64 SB RAMP TO NB RAMP</v>
      </c>
      <c r="J132" s="1" t="str">
        <f>CLEAN("CONST/PAVEMENT REPLACEMENT")</f>
        <v>CONST/PAVEMENT REPLACEMENT</v>
      </c>
    </row>
    <row r="133" spans="1:10" x14ac:dyDescent="0.25">
      <c r="A133" s="1" t="str">
        <f>CLEAN("1176-15-00")</f>
        <v>1176-15-00</v>
      </c>
      <c r="B133" s="1" t="str">
        <f>CLEAN("9000-15-70")</f>
        <v>9000-15-70</v>
      </c>
      <c r="C133" s="1">
        <v>2020</v>
      </c>
      <c r="D133" s="3">
        <v>43781</v>
      </c>
      <c r="E133" s="2" t="str">
        <f>CLEAN("LINCOLN")</f>
        <v>LINCOLN</v>
      </c>
      <c r="F133" s="1" t="str">
        <f>CLEAN("STH-064")</f>
        <v>STH-064</v>
      </c>
      <c r="G133" s="1">
        <v>0.54</v>
      </c>
      <c r="H133" s="1" t="str">
        <f>CLEAN("MERRILL - ANTIGO")</f>
        <v>MERRILL - ANTIGO</v>
      </c>
      <c r="I133" s="1" t="str">
        <f>CLEAN("PINE RIDGE AVENUE TO STH 17")</f>
        <v>PINE RIDGE AVENUE TO STH 17</v>
      </c>
      <c r="J133" s="1" t="str">
        <f>CLEAN("CONST/PAVEMENT REPLACEMENT")</f>
        <v>CONST/PAVEMENT REPLACEMENT</v>
      </c>
    </row>
    <row r="134" spans="1:10" x14ac:dyDescent="0.25">
      <c r="A134" s="1" t="str">
        <f>CLEAN("1176-15-01")</f>
        <v>1176-15-01</v>
      </c>
      <c r="B134" s="1" t="str">
        <f>CLEAN("1176-15-71")</f>
        <v>1176-15-71</v>
      </c>
      <c r="C134" s="1">
        <v>2020</v>
      </c>
      <c r="D134" s="3">
        <v>43781</v>
      </c>
      <c r="E134" s="2" t="str">
        <f>CLEAN("LINCOLN")</f>
        <v>LINCOLN</v>
      </c>
      <c r="F134" s="1" t="str">
        <f>CLEAN("USH-051")</f>
        <v>USH-051</v>
      </c>
      <c r="G134" s="1">
        <v>0</v>
      </c>
      <c r="H134" s="1" t="str">
        <f>CLEAN("WAUSAU - MERRILL")</f>
        <v>WAUSAU - MERRILL</v>
      </c>
      <c r="I134" s="1" t="str">
        <f>CLEAN("BRIDGE ABUTMENTS B-35-0028")</f>
        <v>BRIDGE ABUTMENTS B-35-0028</v>
      </c>
      <c r="J134" s="1" t="str">
        <f>CLEAN("CONST/BRIDGE REHAB")</f>
        <v>CONST/BRIDGE REHAB</v>
      </c>
    </row>
    <row r="135" spans="1:10" x14ac:dyDescent="0.25">
      <c r="A135" s="1" t="str">
        <f>CLEAN("1160-00-35")</f>
        <v>1160-00-35</v>
      </c>
      <c r="B135" s="1" t="str">
        <f>CLEAN("1160-00-65")</f>
        <v>1160-00-65</v>
      </c>
      <c r="C135" s="1">
        <v>2020</v>
      </c>
      <c r="D135" s="3">
        <v>43718</v>
      </c>
      <c r="E135" s="2" t="str">
        <f>CLEAN("MARATHON")</f>
        <v>MARATHON</v>
      </c>
      <c r="F135" s="1" t="str">
        <f>CLEAN("IH -039")</f>
        <v>IH -039</v>
      </c>
      <c r="G135" s="1">
        <v>0</v>
      </c>
      <c r="H135" s="1" t="str">
        <f>CLEAN("PLAINFIELD - WAUSAU")</f>
        <v>PLAINFIELD - WAUSAU</v>
      </c>
      <c r="I135" s="1" t="str">
        <f>CLEAN("VARIOUS CULVERT REPLACEMENTS")</f>
        <v>VARIOUS CULVERT REPLACEMENTS</v>
      </c>
      <c r="J135" s="1" t="str">
        <f>CLEAN("CONST/MISC")</f>
        <v>CONST/MISC</v>
      </c>
    </row>
    <row r="136" spans="1:10" x14ac:dyDescent="0.25">
      <c r="A136" s="1" t="str">
        <f>CLEAN("6370-01-03")</f>
        <v>6370-01-03</v>
      </c>
      <c r="B136" s="1" t="str">
        <f>CLEAN("6370-01-73")</f>
        <v>6370-01-73</v>
      </c>
      <c r="C136" s="1">
        <v>2020</v>
      </c>
      <c r="D136" s="3">
        <v>43718</v>
      </c>
      <c r="E136" s="2" t="str">
        <f>CLEAN("MARATHON")</f>
        <v>MARATHON</v>
      </c>
      <c r="F136" s="1" t="str">
        <f>CLEAN("STH-153")</f>
        <v>STH-153</v>
      </c>
      <c r="G136" s="1">
        <v>0.28000000000000003</v>
      </c>
      <c r="H136" s="1" t="str">
        <f>CLEAN("C MOSINEE  WESTERN AVENUE")</f>
        <v>C MOSINEE  WESTERN AVENUE</v>
      </c>
      <c r="I136" s="1" t="str">
        <f>CLEAN("PINE ST TO WISCONSIN RIVER BRIDGE")</f>
        <v>PINE ST TO WISCONSIN RIVER BRIDGE</v>
      </c>
      <c r="J136" s="1" t="str">
        <f>CLEAN("CONST/RESURF")</f>
        <v>CONST/RESURF</v>
      </c>
    </row>
    <row r="137" spans="1:10" x14ac:dyDescent="0.25">
      <c r="A137" s="1" t="str">
        <f>CLEAN("6370-01-05")</f>
        <v>6370-01-05</v>
      </c>
      <c r="B137" s="1" t="str">
        <f>CLEAN("6370-01-75")</f>
        <v>6370-01-75</v>
      </c>
      <c r="C137" s="1">
        <v>2020</v>
      </c>
      <c r="D137" s="3">
        <v>43809</v>
      </c>
      <c r="E137" s="2" t="str">
        <f>CLEAN("MARATHON")</f>
        <v>MARATHON</v>
      </c>
      <c r="F137" s="1" t="str">
        <f>CLEAN("STH-153")</f>
        <v>STH-153</v>
      </c>
      <c r="G137" s="1">
        <v>1.22</v>
      </c>
      <c r="H137" s="1" t="str">
        <f>CLEAN("C MOSINEE  WESTERN AND 4TH")</f>
        <v>C MOSINEE  WESTERN AND 4TH</v>
      </c>
      <c r="I137" s="1" t="str">
        <f>CLEAN("RANGELINE ROAD TO PINE STREET")</f>
        <v>RANGELINE ROAD TO PINE STREET</v>
      </c>
      <c r="J137" s="1" t="str">
        <f>CLEAN("CONST/RESURFACE")</f>
        <v>CONST/RESURFACE</v>
      </c>
    </row>
    <row r="138" spans="1:10" x14ac:dyDescent="0.25">
      <c r="A138" s="1" t="str">
        <f>CLEAN("1430-00-10")</f>
        <v>1430-00-10</v>
      </c>
      <c r="B138" s="1" t="str">
        <f>CLEAN("1160-00-80")</f>
        <v>1160-00-80</v>
      </c>
      <c r="C138" s="1">
        <v>2020</v>
      </c>
      <c r="D138" s="3">
        <v>43809</v>
      </c>
      <c r="E138" s="2" t="str">
        <f>CLEAN("MARQUETTE")</f>
        <v>MARQUETTE</v>
      </c>
      <c r="F138" s="1" t="str">
        <f>CLEAN("IH -039")</f>
        <v>IH -039</v>
      </c>
      <c r="G138" s="1">
        <v>1.18</v>
      </c>
      <c r="H138" s="1" t="str">
        <f>CLEAN("ENDEAVOR - COLOMA")</f>
        <v>ENDEAVOR - COLOMA</v>
      </c>
      <c r="I138" s="1" t="str">
        <f>CLEAN("STH 82 NB RAMPS TO SB RAMPS")</f>
        <v>STH 82 NB RAMPS TO SB RAMPS</v>
      </c>
      <c r="J138" s="1" t="str">
        <f>CLEAN("CONSTR/RESURFACE")</f>
        <v>CONSTR/RESURFACE</v>
      </c>
    </row>
    <row r="139" spans="1:10" x14ac:dyDescent="0.25">
      <c r="A139" s="1" t="str">
        <f>CLEAN("1430-00-10")</f>
        <v>1430-00-10</v>
      </c>
      <c r="B139" s="1" t="str">
        <f>CLEAN("1430-00-80")</f>
        <v>1430-00-80</v>
      </c>
      <c r="C139" s="1">
        <v>2020</v>
      </c>
      <c r="D139" s="3">
        <v>43809</v>
      </c>
      <c r="E139" s="2" t="str">
        <f>CLEAN("MARQUETTE")</f>
        <v>MARQUETTE</v>
      </c>
      <c r="F139" s="1" t="str">
        <f>CLEAN("STH-082")</f>
        <v>STH-082</v>
      </c>
      <c r="G139" s="1">
        <v>5.58</v>
      </c>
      <c r="H139" s="1" t="str">
        <f>CLEAN("MAUSTON - IH39")</f>
        <v>MAUSTON - IH39</v>
      </c>
      <c r="I139" s="1" t="str">
        <f>CLEAN("ADAMS COUNTY LINE TO IH39")</f>
        <v>ADAMS COUNTY LINE TO IH39</v>
      </c>
      <c r="J139" s="1" t="str">
        <f>CLEAN("CONST/RESURFACE")</f>
        <v>CONST/RESURFACE</v>
      </c>
    </row>
    <row r="140" spans="1:10" x14ac:dyDescent="0.25">
      <c r="A140" s="1" t="str">
        <f>CLEAN("1430-00-10")</f>
        <v>1430-00-10</v>
      </c>
      <c r="B140" s="1" t="str">
        <f>CLEAN("1430-00-82")</f>
        <v>1430-00-82</v>
      </c>
      <c r="C140" s="1">
        <v>2020</v>
      </c>
      <c r="D140" s="3">
        <v>43809</v>
      </c>
      <c r="E140" s="2" t="str">
        <f>CLEAN("MARQUETTE")</f>
        <v>MARQUETTE</v>
      </c>
      <c r="F140" s="1" t="str">
        <f>CLEAN("STH-023")</f>
        <v>STH-023</v>
      </c>
      <c r="G140" s="1">
        <v>0.26</v>
      </c>
      <c r="H140" s="1" t="str">
        <f>CLEAN("ENDEAVOR - PRINCETON")</f>
        <v>ENDEAVOR - PRINCETON</v>
      </c>
      <c r="I140" s="1" t="str">
        <f>CLEAN("IH39 TO 8TH COURT")</f>
        <v>IH39 TO 8TH COURT</v>
      </c>
      <c r="J140" s="1" t="str">
        <f>CLEAN("CONST/RESURFACE")</f>
        <v>CONST/RESURFACE</v>
      </c>
    </row>
    <row r="141" spans="1:10" x14ac:dyDescent="0.25">
      <c r="A141" s="1" t="str">
        <f>CLEAN("1430-01-09")</f>
        <v>1430-01-09</v>
      </c>
      <c r="B141" s="1" t="str">
        <f>CLEAN("1430-01-79")</f>
        <v>1430-01-79</v>
      </c>
      <c r="C141" s="1">
        <v>2020</v>
      </c>
      <c r="D141" s="3">
        <v>43690</v>
      </c>
      <c r="E141" s="2" t="str">
        <f>CLEAN("MARQUETTE")</f>
        <v>MARQUETTE</v>
      </c>
      <c r="F141" s="1" t="str">
        <f>CLEAN("STH-023")</f>
        <v>STH-023</v>
      </c>
      <c r="G141" s="1">
        <v>0</v>
      </c>
      <c r="H141" s="1" t="str">
        <f>CLEAN("ENDEAVOR - PRINCETON")</f>
        <v>ENDEAVOR - PRINCETON</v>
      </c>
      <c r="I141" s="1" t="str">
        <f>CLEAN("MECAN RIVER  B-39-203")</f>
        <v>MECAN RIVER  B-39-203</v>
      </c>
      <c r="J141" s="1" t="str">
        <f>CLEAN("DESIGN/BR RPLCMT")</f>
        <v>DESIGN/BR RPLCMT</v>
      </c>
    </row>
    <row r="142" spans="1:10" ht="30" x14ac:dyDescent="0.25">
      <c r="A142" s="1" t="str">
        <f>CLEAN("1009-46-30")</f>
        <v>1009-46-30</v>
      </c>
      <c r="B142" s="1" t="str">
        <f>CLEAN("1009-46-60")</f>
        <v>1009-46-60</v>
      </c>
      <c r="C142" s="1">
        <v>2020</v>
      </c>
      <c r="D142" s="3">
        <v>43781</v>
      </c>
      <c r="E142" s="2" t="str">
        <f>CLEAN("REGION WIDE")</f>
        <v>REGION WIDE</v>
      </c>
      <c r="F142" s="1" t="str">
        <f>CLEAN("VAR-HWY")</f>
        <v>VAR-HWY</v>
      </c>
      <c r="G142" s="1">
        <v>0</v>
      </c>
      <c r="H142" s="1" t="str">
        <f>CLEAN("REGIONWIDE BRIDGE MAINTENANCE")</f>
        <v>REGIONWIDE BRIDGE MAINTENANCE</v>
      </c>
      <c r="I142" s="1" t="str">
        <f>CLEAN("LOCATIONS ON STN PER ANNUAL PLAN")</f>
        <v>LOCATIONS ON STN PER ANNUAL PLAN</v>
      </c>
      <c r="J142" s="1" t="str">
        <f>CLEAN("CONST/PREV MAINT APPRVL 9/29/2015")</f>
        <v>CONST/PREV MAINT APPRVL 9/29/2015</v>
      </c>
    </row>
    <row r="143" spans="1:10" x14ac:dyDescent="0.25">
      <c r="A143" s="1" t="str">
        <f>CLEAN("9261-06-30")</f>
        <v>9261-06-30</v>
      </c>
      <c r="B143" s="1" t="str">
        <f>CLEAN("9261-06-60")</f>
        <v>9261-06-60</v>
      </c>
      <c r="C143" s="1">
        <v>2020</v>
      </c>
      <c r="D143" s="3">
        <v>43900</v>
      </c>
      <c r="E143" s="2" t="str">
        <f>CLEAN("ONEIDA")</f>
        <v>ONEIDA</v>
      </c>
      <c r="F143" s="1" t="str">
        <f>CLEAN("STH-032")</f>
        <v>STH-032</v>
      </c>
      <c r="G143" s="1">
        <v>0</v>
      </c>
      <c r="H143" s="1" t="str">
        <f>CLEAN("CRANDON - THREE LAKES")</f>
        <v>CRANDON - THREE LAKES</v>
      </c>
      <c r="I143" s="1" t="str">
        <f>CLEAN("CULVERT REPLACEMENT C-43-9706")</f>
        <v>CULVERT REPLACEMENT C-43-9706</v>
      </c>
      <c r="J143" s="1" t="str">
        <f>CLEAN("CONST/PREV MAINT APPRVL 9/10/2015")</f>
        <v>CONST/PREV MAINT APPRVL 9/10/2015</v>
      </c>
    </row>
    <row r="144" spans="1:10" x14ac:dyDescent="0.25">
      <c r="A144" s="1" t="str">
        <f>CLEAN("6280-00-00")</f>
        <v>6280-00-00</v>
      </c>
      <c r="B144" s="1" t="str">
        <f>CLEAN("6280-00-70")</f>
        <v>6280-00-70</v>
      </c>
      <c r="C144" s="1">
        <v>2020</v>
      </c>
      <c r="D144" s="3">
        <v>43690</v>
      </c>
      <c r="E144" s="2" t="str">
        <f>CLEAN("PORTAGE")</f>
        <v>PORTAGE</v>
      </c>
      <c r="F144" s="1" t="str">
        <f>CLEAN("STH-066")</f>
        <v>STH-066</v>
      </c>
      <c r="G144" s="1">
        <v>0.05</v>
      </c>
      <c r="H144" s="1" t="str">
        <f>CLEAN("C STEVENS POINT  MAIN STREET")</f>
        <v>C STEVENS POINT  MAIN STREET</v>
      </c>
      <c r="I144" s="1" t="str">
        <f>CLEAN("PLOVER RIVER  B-49-41")</f>
        <v>PLOVER RIVER  B-49-41</v>
      </c>
      <c r="J144" s="1" t="str">
        <f>CLEAN("CONSTR/DECK REPLACEMENT")</f>
        <v>CONSTR/DECK REPLACEMENT</v>
      </c>
    </row>
    <row r="145" spans="1:10" x14ac:dyDescent="0.25">
      <c r="A145" s="1" t="str">
        <f>CLEAN("1610-44-00")</f>
        <v>1610-44-00</v>
      </c>
      <c r="B145" s="1" t="str">
        <f>CLEAN("1610-44-70")</f>
        <v>1610-44-70</v>
      </c>
      <c r="C145" s="1">
        <v>2020</v>
      </c>
      <c r="D145" s="3">
        <v>43844</v>
      </c>
      <c r="E145" s="2" t="str">
        <f>CLEAN("PRICE")</f>
        <v>PRICE</v>
      </c>
      <c r="F145" s="1" t="str">
        <f>CLEAN("STH-013")</f>
        <v>STH-013</v>
      </c>
      <c r="G145" s="1">
        <v>6.1</v>
      </c>
      <c r="H145" s="1" t="str">
        <f>CLEAN("PRENTICE - PARK FALLS")</f>
        <v>PRENTICE - PARK FALLS</v>
      </c>
      <c r="I145" s="1" t="str">
        <f>CLEAN("CTH A TO STH 111")</f>
        <v>CTH A TO STH 111</v>
      </c>
      <c r="J145" s="1" t="str">
        <f>CLEAN("CONST/RESURFACE")</f>
        <v>CONST/RESURFACE</v>
      </c>
    </row>
    <row r="146" spans="1:10" x14ac:dyDescent="0.25">
      <c r="A146" s="1" t="str">
        <f>CLEAN("1009-44-38")</f>
        <v>1009-44-38</v>
      </c>
      <c r="B146" s="1" t="str">
        <f>CLEAN("6524-03-60")</f>
        <v>6524-03-60</v>
      </c>
      <c r="C146" s="1">
        <v>2020</v>
      </c>
      <c r="D146" s="3">
        <v>43718</v>
      </c>
      <c r="E146" s="2" t="str">
        <f t="shared" ref="E146:E152" si="3">CLEAN("SHAWANO")</f>
        <v>SHAWANO</v>
      </c>
      <c r="F146" s="1" t="str">
        <f>CLEAN("STH-055")</f>
        <v>STH-055</v>
      </c>
      <c r="G146" s="1">
        <v>0</v>
      </c>
      <c r="H146" s="1" t="str">
        <f>CLEAN("SHAWANO - GILLETT")</f>
        <v>SHAWANO - GILLETT</v>
      </c>
      <c r="I146" s="1" t="str">
        <f>CLEAN("CULVERT REPLACEMENT C-58-76")</f>
        <v>CULVERT REPLACEMENT C-58-76</v>
      </c>
      <c r="J146" s="1" t="str">
        <f>CLEAN("CONST/PREV MAINT APPRVL 9/10/2015")</f>
        <v>CONST/PREV MAINT APPRVL 9/10/2015</v>
      </c>
    </row>
    <row r="147" spans="1:10" x14ac:dyDescent="0.25">
      <c r="A147" s="1" t="str">
        <f>CLEAN("1009-44-38")</f>
        <v>1009-44-38</v>
      </c>
      <c r="B147" s="1" t="str">
        <f>CLEAN("9180-17-60")</f>
        <v>9180-17-60</v>
      </c>
      <c r="C147" s="1">
        <v>2020</v>
      </c>
      <c r="D147" s="3">
        <v>43718</v>
      </c>
      <c r="E147" s="2" t="str">
        <f t="shared" si="3"/>
        <v>SHAWANO</v>
      </c>
      <c r="F147" s="1" t="str">
        <f>CLEAN("STH-022")</f>
        <v>STH-022</v>
      </c>
      <c r="G147" s="1">
        <v>0</v>
      </c>
      <c r="H147" s="1" t="str">
        <f>CLEAN("SHAWANO - GILLETT")</f>
        <v>SHAWANO - GILLETT</v>
      </c>
      <c r="I147" s="1" t="str">
        <f>CLEAN("CULVERT REPLACEMENT C-58-23")</f>
        <v>CULVERT REPLACEMENT C-58-23</v>
      </c>
      <c r="J147" s="1" t="str">
        <f>CLEAN("CONST/PREV MAINT APPRVL 9/10/2015")</f>
        <v>CONST/PREV MAINT APPRVL 9/10/2015</v>
      </c>
    </row>
    <row r="148" spans="1:10" x14ac:dyDescent="0.25">
      <c r="A148" s="1" t="str">
        <f>CLEAN("1600-22-01")</f>
        <v>1600-22-01</v>
      </c>
      <c r="B148" s="1" t="str">
        <f>CLEAN("1600-22-71")</f>
        <v>1600-22-71</v>
      </c>
      <c r="C148" s="1">
        <v>2020</v>
      </c>
      <c r="D148" s="3">
        <v>43900</v>
      </c>
      <c r="E148" s="2" t="str">
        <f t="shared" si="3"/>
        <v>SHAWANO</v>
      </c>
      <c r="F148" s="1" t="str">
        <f>CLEAN("USH-045")</f>
        <v>USH-045</v>
      </c>
      <c r="G148" s="1">
        <v>8.18</v>
      </c>
      <c r="H148" s="1" t="str">
        <f>CLEAN("CLINTONVILLE - WITTENBERG")</f>
        <v>CLINTONVILLE - WITTENBERG</v>
      </c>
      <c r="I148" s="1" t="str">
        <f>CLEAN("GOLLNOW ROAD TO MENZEL ROAD")</f>
        <v>GOLLNOW ROAD TO MENZEL ROAD</v>
      </c>
      <c r="J148" s="1" t="str">
        <f>CLEAN("CONST/RESURFACE")</f>
        <v>CONST/RESURFACE</v>
      </c>
    </row>
    <row r="149" spans="1:10" x14ac:dyDescent="0.25">
      <c r="A149" s="1" t="str">
        <f>CLEAN("1600-22-31")</f>
        <v>1600-22-31</v>
      </c>
      <c r="B149" s="1" t="str">
        <f>CLEAN("1600-22-61")</f>
        <v>1600-22-61</v>
      </c>
      <c r="C149" s="1">
        <v>2020</v>
      </c>
      <c r="D149" s="3">
        <v>43844</v>
      </c>
      <c r="E149" s="2" t="str">
        <f t="shared" si="3"/>
        <v>SHAWANO</v>
      </c>
      <c r="F149" s="1" t="str">
        <f>CLEAN("USH-045")</f>
        <v>USH-045</v>
      </c>
      <c r="G149" s="1">
        <v>7.77</v>
      </c>
      <c r="H149" s="1" t="str">
        <f>CLEAN("CLINTONVILLE - WITTENBERG")</f>
        <v>CLINTONVILLE - WITTENBERG</v>
      </c>
      <c r="I149" s="1" t="str">
        <f>CLEAN("MENZEL ROAD TO STH 29")</f>
        <v>MENZEL ROAD TO STH 29</v>
      </c>
      <c r="J149" s="1" t="str">
        <f>CLEAN("CONST/PREV MAINT APPROVAL 6/1/11")</f>
        <v>CONST/PREV MAINT APPROVAL 6/1/11</v>
      </c>
    </row>
    <row r="150" spans="1:10" x14ac:dyDescent="0.25">
      <c r="A150" s="1" t="str">
        <f>CLEAN("1600-22-31")</f>
        <v>1600-22-31</v>
      </c>
      <c r="B150" s="1" t="str">
        <f>CLEAN("1600-22-62")</f>
        <v>1600-22-62</v>
      </c>
      <c r="C150" s="1">
        <v>2020</v>
      </c>
      <c r="D150" s="3">
        <v>43844</v>
      </c>
      <c r="E150" s="2" t="str">
        <f t="shared" si="3"/>
        <v>SHAWANO</v>
      </c>
      <c r="F150" s="1" t="str">
        <f>CLEAN("USH-045")</f>
        <v>USH-045</v>
      </c>
      <c r="G150" s="1">
        <v>0.03</v>
      </c>
      <c r="H150" s="1" t="str">
        <f>CLEAN("CLINTONVILLE - WITTENBERG")</f>
        <v>CLINTONVILLE - WITTENBERG</v>
      </c>
      <c r="I150" s="1" t="str">
        <f>CLEAN("CULVERT REPLACEMENT C-58-062")</f>
        <v>CULVERT REPLACEMENT C-58-062</v>
      </c>
      <c r="J150" s="1" t="str">
        <f>CLEAN("CONST/CULVERT")</f>
        <v>CONST/CULVERT</v>
      </c>
    </row>
    <row r="151" spans="1:10" x14ac:dyDescent="0.25">
      <c r="A151" s="1" t="str">
        <f>CLEAN("6243-08-00")</f>
        <v>6243-08-00</v>
      </c>
      <c r="B151" s="1" t="str">
        <f>CLEAN("6243-08-70")</f>
        <v>6243-08-70</v>
      </c>
      <c r="C151" s="1">
        <v>2020</v>
      </c>
      <c r="D151" s="3">
        <v>43809</v>
      </c>
      <c r="E151" s="2" t="str">
        <f t="shared" si="3"/>
        <v>SHAWANO</v>
      </c>
      <c r="F151" s="1" t="str">
        <f>CLEAN("STH-047")</f>
        <v>STH-047</v>
      </c>
      <c r="G151" s="1">
        <v>5.16</v>
      </c>
      <c r="H151" s="1" t="str">
        <f>CLEAN("SHAWANO - NEOPIT")</f>
        <v>SHAWANO - NEOPIT</v>
      </c>
      <c r="I151" s="1" t="str">
        <f>CLEAN("SHAWANO CREEK TO MENOMINEE CO LINE")</f>
        <v>SHAWANO CREEK TO MENOMINEE CO LINE</v>
      </c>
      <c r="J151" s="1" t="str">
        <f>CLEAN("CONST/RESURFACE")</f>
        <v>CONST/RESURFACE</v>
      </c>
    </row>
    <row r="152" spans="1:10" x14ac:dyDescent="0.25">
      <c r="A152" s="1" t="str">
        <f>CLEAN("6580-12-00")</f>
        <v>6580-12-00</v>
      </c>
      <c r="B152" s="1" t="str">
        <f>CLEAN("6580-12-70")</f>
        <v>6580-12-70</v>
      </c>
      <c r="C152" s="1">
        <v>2020</v>
      </c>
      <c r="D152" s="3">
        <v>43844</v>
      </c>
      <c r="E152" s="2" t="str">
        <f t="shared" si="3"/>
        <v>SHAWANO</v>
      </c>
      <c r="F152" s="1" t="str">
        <f>CLEAN("STH-156")</f>
        <v>STH-156</v>
      </c>
      <c r="G152" s="1">
        <v>4</v>
      </c>
      <c r="H152" s="1" t="str">
        <f>CLEAN("CLINTONVILLE - HOWARD")</f>
        <v>CLINTONVILLE - HOWARD</v>
      </c>
      <c r="I152" s="1" t="str">
        <f>CLEAN("NAVARINO ROAD TO NICHOLS ROAD")</f>
        <v>NAVARINO ROAD TO NICHOLS ROAD</v>
      </c>
      <c r="J152" s="1" t="str">
        <f>CLEAN("CONST/RESURFACE")</f>
        <v>CONST/RESURFACE</v>
      </c>
    </row>
    <row r="153" spans="1:10" x14ac:dyDescent="0.25">
      <c r="A153" s="1" t="str">
        <f>CLEAN("1601-14-02")</f>
        <v>1601-14-02</v>
      </c>
      <c r="B153" s="1" t="str">
        <f>CLEAN("1601-14-73")</f>
        <v>1601-14-73</v>
      </c>
      <c r="C153" s="1">
        <v>2020</v>
      </c>
      <c r="D153" s="3">
        <v>43690</v>
      </c>
      <c r="E153" s="2" t="str">
        <f>CLEAN("VILAS")</f>
        <v>VILAS</v>
      </c>
      <c r="F153" s="1" t="str">
        <f>CLEAN("USH-045")</f>
        <v>USH-045</v>
      </c>
      <c r="G153" s="1">
        <v>1.42</v>
      </c>
      <c r="H153" s="1" t="str">
        <f>CLEAN("MONICO - EAGLE RIVER")</f>
        <v>MONICO - EAGLE RIVER</v>
      </c>
      <c r="I153" s="1" t="str">
        <f>CLEAN("STH 70 EAST TO STH 70 WEST")</f>
        <v>STH 70 EAST TO STH 70 WEST</v>
      </c>
      <c r="J153" s="1" t="str">
        <f>CLEAN("CONST/RESURFACE")</f>
        <v>CONST/RESURFACE</v>
      </c>
    </row>
    <row r="154" spans="1:10" x14ac:dyDescent="0.25">
      <c r="A154" s="1" t="str">
        <f>CLEAN("1510-02-02")</f>
        <v>1510-02-02</v>
      </c>
      <c r="B154" s="1" t="str">
        <f>CLEAN("1510-02-72")</f>
        <v>1510-02-72</v>
      </c>
      <c r="C154" s="1">
        <v>2020</v>
      </c>
      <c r="D154" s="3">
        <v>43809</v>
      </c>
      <c r="E154" s="2" t="str">
        <f>CLEAN("WAUPACA")</f>
        <v>WAUPACA</v>
      </c>
      <c r="F154" s="1" t="str">
        <f>CLEAN("USH-010")</f>
        <v>USH-010</v>
      </c>
      <c r="G154" s="1">
        <v>0.02</v>
      </c>
      <c r="H154" s="1" t="str">
        <f>CLEAN("WAUPACA - APPLETON")</f>
        <v>WAUPACA - APPLETON</v>
      </c>
      <c r="I154" s="1" t="str">
        <f>CLEAN("CTH E STRUCTURE B-68-0022")</f>
        <v>CTH E STRUCTURE B-68-0022</v>
      </c>
      <c r="J154" s="1" t="str">
        <f>CLEAN("CONST/BRIDGE REHAB")</f>
        <v>CONST/BRIDGE REHAB</v>
      </c>
    </row>
    <row r="155" spans="1:10" x14ac:dyDescent="0.25">
      <c r="A155" s="1" t="str">
        <f>CLEAN("6270-00-04")</f>
        <v>6270-00-04</v>
      </c>
      <c r="B155" s="1" t="str">
        <f>CLEAN("6270-00-74")</f>
        <v>6270-00-74</v>
      </c>
      <c r="C155" s="1">
        <v>2020</v>
      </c>
      <c r="D155" s="3">
        <v>43690</v>
      </c>
      <c r="E155" s="2" t="str">
        <f>CLEAN("WAUPACA")</f>
        <v>WAUPACA</v>
      </c>
      <c r="F155" s="1" t="str">
        <f>CLEAN("STH-049")</f>
        <v>STH-049</v>
      </c>
      <c r="G155" s="1">
        <v>0.04</v>
      </c>
      <c r="H155" s="1" t="str">
        <f>CLEAN("V IOLA  MAIN STREET")</f>
        <v>V IOLA  MAIN STREET</v>
      </c>
      <c r="I155" s="1" t="str">
        <f>CLEAN("S BR LITTLE WOLF  B-68-29")</f>
        <v>S BR LITTLE WOLF  B-68-29</v>
      </c>
      <c r="J155" s="1" t="str">
        <f>CLEAN("DESIGN/BR REPLACEMENT/MASONRY ARCH")</f>
        <v>DESIGN/BR REPLACEMENT/MASONRY ARCH</v>
      </c>
    </row>
    <row r="156" spans="1:10" x14ac:dyDescent="0.25">
      <c r="A156" s="1" t="str">
        <f>CLEAN("6270-00-34")</f>
        <v>6270-00-34</v>
      </c>
      <c r="B156" s="1" t="str">
        <f>CLEAN("6270-00-64")</f>
        <v>6270-00-64</v>
      </c>
      <c r="C156" s="1">
        <v>2020</v>
      </c>
      <c r="D156" s="3">
        <v>43718</v>
      </c>
      <c r="E156" s="2" t="str">
        <f>CLEAN("WAUPACA")</f>
        <v>WAUPACA</v>
      </c>
      <c r="F156" s="1" t="str">
        <f>CLEAN("STH-049")</f>
        <v>STH-049</v>
      </c>
      <c r="G156" s="1">
        <v>5.55</v>
      </c>
      <c r="H156" s="1" t="str">
        <f>CLEAN("WAUPACA - STH 29")</f>
        <v>WAUPACA - STH 29</v>
      </c>
      <c r="I156" s="1" t="str">
        <f>CLEAN("PETERSON ROAD TO CEDAR ROAD")</f>
        <v>PETERSON ROAD TO CEDAR ROAD</v>
      </c>
      <c r="J156" s="1" t="str">
        <f>CLEAN("CONST/SHRM STATE FUND APRVL 10/6/11")</f>
        <v>CONST/SHRM STATE FUND APRVL 10/6/11</v>
      </c>
    </row>
    <row r="157" spans="1:10" x14ac:dyDescent="0.25">
      <c r="A157" s="1" t="str">
        <f>CLEAN("6580-00-30")</f>
        <v>6580-00-30</v>
      </c>
      <c r="B157" s="1" t="str">
        <f>CLEAN("6580-00-60")</f>
        <v>6580-00-60</v>
      </c>
      <c r="C157" s="1">
        <v>2020</v>
      </c>
      <c r="D157" s="3">
        <v>43844</v>
      </c>
      <c r="E157" s="2" t="str">
        <f>CLEAN("WAUPACA")</f>
        <v>WAUPACA</v>
      </c>
      <c r="F157" s="1" t="str">
        <f>CLEAN("STH-156")</f>
        <v>STH-156</v>
      </c>
      <c r="G157" s="1">
        <v>0</v>
      </c>
      <c r="H157" s="1" t="str">
        <f>CLEAN("CLINTONVILLE - HOWARD")</f>
        <v>CLINTONVILLE - HOWARD</v>
      </c>
      <c r="I157" s="1" t="str">
        <f>CLEAN("BRIDGE PAINTING  B-68-11 &amp; B-68-08")</f>
        <v>BRIDGE PAINTING  B-68-11 &amp; B-68-08</v>
      </c>
      <c r="J157" s="1" t="str">
        <f>CLEAN("CONST/BR SHRM/PM APPROVAL 9/10/15")</f>
        <v>CONST/BR SHRM/PM APPROVAL 9/10/15</v>
      </c>
    </row>
    <row r="158" spans="1:10" x14ac:dyDescent="0.25">
      <c r="A158" s="1" t="str">
        <f>CLEAN("6580-02-00")</f>
        <v>6580-02-00</v>
      </c>
      <c r="B158" s="1" t="str">
        <f>CLEAN("6580-02-70")</f>
        <v>6580-02-70</v>
      </c>
      <c r="C158" s="1">
        <v>2020</v>
      </c>
      <c r="D158" s="3">
        <v>43844</v>
      </c>
      <c r="E158" s="2" t="str">
        <f>CLEAN("WAUPACA")</f>
        <v>WAUPACA</v>
      </c>
      <c r="F158" s="1" t="str">
        <f>CLEAN("STH-156")</f>
        <v>STH-156</v>
      </c>
      <c r="G158" s="1">
        <v>7.21</v>
      </c>
      <c r="H158" s="1" t="str">
        <f>CLEAN("CLINTONVILLE - HOWARD")</f>
        <v>CLINTONVILLE - HOWARD</v>
      </c>
      <c r="I158" s="1" t="str">
        <f>CLEAN("STH 22 TO SHAWANO COUNTY LINE")</f>
        <v>STH 22 TO SHAWANO COUNTY LINE</v>
      </c>
      <c r="J158" s="1" t="str">
        <f>CLEAN("CONST/RESURFACE")</f>
        <v>CONST/RESURFACE</v>
      </c>
    </row>
    <row r="159" spans="1:10" x14ac:dyDescent="0.25">
      <c r="A159" s="1" t="str">
        <f>CLEAN("1620-02-05")</f>
        <v>1620-02-05</v>
      </c>
      <c r="B159" s="1" t="str">
        <f>CLEAN("1620-02-75")</f>
        <v>1620-02-75</v>
      </c>
      <c r="C159" s="1">
        <v>2020</v>
      </c>
      <c r="D159" s="3">
        <v>43690</v>
      </c>
      <c r="E159" s="2" t="str">
        <f>CLEAN("WOOD")</f>
        <v>WOOD</v>
      </c>
      <c r="F159" s="1" t="str">
        <f>CLEAN("STH-080")</f>
        <v>STH-080</v>
      </c>
      <c r="G159" s="1">
        <v>0</v>
      </c>
      <c r="H159" s="1" t="str">
        <f>CLEAN("NECEDAH - BABCOCK")</f>
        <v>NECEDAH - BABCOCK</v>
      </c>
      <c r="I159" s="1" t="str">
        <f>CLEAN("YELLOW RIVER BRIDGE  B-71-539")</f>
        <v>YELLOW RIVER BRIDGE  B-71-539</v>
      </c>
      <c r="J159" s="1" t="str">
        <f>CLEAN("DESIGN/BR RPLCMT")</f>
        <v>DESIGN/BR RPLCMT</v>
      </c>
    </row>
    <row r="160" spans="1:10" x14ac:dyDescent="0.25">
      <c r="D160" s="3"/>
    </row>
    <row r="161" spans="1:10" x14ac:dyDescent="0.25">
      <c r="A161" s="1" t="str">
        <f>CLEAN("9110-08-30")</f>
        <v>9110-08-30</v>
      </c>
      <c r="B161" s="1" t="str">
        <f>CLEAN("9110-08-60")</f>
        <v>9110-08-60</v>
      </c>
      <c r="C161" s="1">
        <v>2021</v>
      </c>
      <c r="D161" s="3">
        <v>44236</v>
      </c>
      <c r="E161" s="2" t="str">
        <f>CLEAN("FLORENCE")</f>
        <v>FLORENCE</v>
      </c>
      <c r="F161" s="1" t="str">
        <f>CLEAN("STH-139")</f>
        <v>STH-139</v>
      </c>
      <c r="G161" s="1">
        <v>4.0999999999999996</v>
      </c>
      <c r="H161" s="1" t="str">
        <f>CLEAN("CAVOUR - BRULE RIVER")</f>
        <v>CAVOUR - BRULE RIVER</v>
      </c>
      <c r="I161" s="1" t="str">
        <f>CLEAN("QUINLAN SPUR - SCZEPANSKI ROAD")</f>
        <v>QUINLAN SPUR - SCZEPANSKI ROAD</v>
      </c>
      <c r="J161" s="1" t="str">
        <f>CLEAN("CONST/PREV MAINT APPROVAL 6/1/11")</f>
        <v>CONST/PREV MAINT APPROVAL 6/1/11</v>
      </c>
    </row>
    <row r="162" spans="1:10" x14ac:dyDescent="0.25">
      <c r="A162" s="1" t="str">
        <f>CLEAN("6210-00-02")</f>
        <v>6210-00-02</v>
      </c>
      <c r="B162" s="1" t="str">
        <f>CLEAN("6210-00-72")</f>
        <v>6210-00-72</v>
      </c>
      <c r="C162" s="1">
        <v>2021</v>
      </c>
      <c r="D162" s="3">
        <v>44054</v>
      </c>
      <c r="E162" s="2" t="str">
        <f>CLEAN("GREEN LAKE")</f>
        <v>GREEN LAKE</v>
      </c>
      <c r="F162" s="1" t="str">
        <f>CLEAN("STH-049")</f>
        <v>STH-049</v>
      </c>
      <c r="G162" s="1">
        <v>7.38</v>
      </c>
      <c r="H162" s="1" t="str">
        <f>CLEAN("RIPON - AURORAVILLE")</f>
        <v>RIPON - AURORAVILLE</v>
      </c>
      <c r="I162" s="1" t="str">
        <f>CLEAN("STH 23 TO SOUTH STREET")</f>
        <v>STH 23 TO SOUTH STREET</v>
      </c>
      <c r="J162" s="1" t="str">
        <f>CLEAN("CONST/RESURFACE")</f>
        <v>CONST/RESURFACE</v>
      </c>
    </row>
    <row r="163" spans="1:10" x14ac:dyDescent="0.25">
      <c r="A163" s="1" t="str">
        <f>CLEAN("6999-02-09")</f>
        <v>6999-02-09</v>
      </c>
      <c r="B163" s="1" t="str">
        <f>CLEAN("6999-02-79")</f>
        <v>6999-02-79</v>
      </c>
      <c r="C163" s="1">
        <v>2021</v>
      </c>
      <c r="D163" s="3">
        <v>44390</v>
      </c>
      <c r="E163" s="2" t="str">
        <f>CLEAN("MARATHON")</f>
        <v>MARATHON</v>
      </c>
      <c r="F163" s="1" t="str">
        <f>CLEAN("BUS-051")</f>
        <v>BUS-051</v>
      </c>
      <c r="G163" s="1">
        <v>1.56</v>
      </c>
      <c r="H163" s="1" t="str">
        <f>CLEAN("WAUSAU  GRAND AVENUE")</f>
        <v>WAUSAU  GRAND AVENUE</v>
      </c>
      <c r="I163" s="1" t="str">
        <f>CLEAN("KENT STREET TO DIVISION STREET")</f>
        <v>KENT STREET TO DIVISION STREET</v>
      </c>
      <c r="J163" s="1" t="str">
        <f>CLEAN("CONST/RECONDITION")</f>
        <v>CONST/RECONDITION</v>
      </c>
    </row>
    <row r="164" spans="1:10" x14ac:dyDescent="0.25">
      <c r="A164" s="1" t="str">
        <f>CLEAN("9535-05-00")</f>
        <v>9535-05-00</v>
      </c>
      <c r="B164" s="1" t="str">
        <f>CLEAN("9535-05-70")</f>
        <v>9535-05-70</v>
      </c>
      <c r="C164" s="1">
        <v>2021</v>
      </c>
      <c r="D164" s="3">
        <v>44236</v>
      </c>
      <c r="E164" s="2" t="str">
        <f>CLEAN("MARATHON")</f>
        <v>MARATHON</v>
      </c>
      <c r="F164" s="1" t="str">
        <f>CLEAN("STH-097")</f>
        <v>STH-097</v>
      </c>
      <c r="G164" s="1">
        <v>6.75</v>
      </c>
      <c r="H164" s="1" t="str">
        <f>CLEAN("STRATFORD - GOODRICH")</f>
        <v>STRATFORD - GOODRICH</v>
      </c>
      <c r="I164" s="1" t="str">
        <f>CLEAN("BLACK CREEK BRDGE TO TAYLOR CO LINE")</f>
        <v>BLACK CREEK BRDGE TO TAYLOR CO LINE</v>
      </c>
      <c r="J164" s="1" t="str">
        <f>CLEAN("CONST/RESURFACE")</f>
        <v>CONST/RESURFACE</v>
      </c>
    </row>
    <row r="165" spans="1:10" x14ac:dyDescent="0.25">
      <c r="A165" s="1" t="str">
        <f>CLEAN("1430-02-03")</f>
        <v>1430-02-03</v>
      </c>
      <c r="B165" s="1" t="str">
        <f>CLEAN("1430-02-73")</f>
        <v>1430-02-73</v>
      </c>
      <c r="C165" s="1">
        <v>2021</v>
      </c>
      <c r="D165" s="3">
        <v>44082</v>
      </c>
      <c r="E165" s="2" t="str">
        <f>CLEAN("MARQUETTE")</f>
        <v>MARQUETTE</v>
      </c>
      <c r="F165" s="1" t="str">
        <f>CLEAN("STH-023")</f>
        <v>STH-023</v>
      </c>
      <c r="G165" s="1">
        <v>7.04</v>
      </c>
      <c r="H165" s="1" t="str">
        <f>CLEAN("ENDEAVOR - PRINCETON")</f>
        <v>ENDEAVOR - PRINCETON</v>
      </c>
      <c r="I165" s="1" t="str">
        <f>CLEAN("8TH COURT TO MORNINGSIDE COURT")</f>
        <v>8TH COURT TO MORNINGSIDE COURT</v>
      </c>
      <c r="J165" s="1" t="str">
        <f>CLEAN("CONSTR/RESURF")</f>
        <v>CONSTR/RESURF</v>
      </c>
    </row>
    <row r="166" spans="1:10" x14ac:dyDescent="0.25">
      <c r="A166" s="1" t="str">
        <f>CLEAN("6150-01-07")</f>
        <v>6150-01-07</v>
      </c>
      <c r="B166" s="1" t="str">
        <f>CLEAN("6150-01-77")</f>
        <v>6150-01-77</v>
      </c>
      <c r="C166" s="1">
        <v>2021</v>
      </c>
      <c r="D166" s="3">
        <v>44145</v>
      </c>
      <c r="E166" s="2" t="str">
        <f>CLEAN("MARQUETTE")</f>
        <v>MARQUETTE</v>
      </c>
      <c r="F166" s="1" t="str">
        <f>CLEAN("STH-022")</f>
        <v>STH-022</v>
      </c>
      <c r="G166" s="1">
        <v>0.19</v>
      </c>
      <c r="H166" s="1" t="str">
        <f>CLEAN("C MONTELLO  CHURCH STREET")</f>
        <v>C MONTELLO  CHURCH STREET</v>
      </c>
      <c r="I166" s="1" t="str">
        <f>CLEAN("N JCT STH 23 TO PARK STREET")</f>
        <v>N JCT STH 23 TO PARK STREET</v>
      </c>
      <c r="J166" s="1" t="str">
        <f>CLEAN("CONSTR/RECONSTRUCTION")</f>
        <v>CONSTR/RECONSTRUCTION</v>
      </c>
    </row>
    <row r="167" spans="1:10" x14ac:dyDescent="0.25">
      <c r="A167" s="1" t="str">
        <f>CLEAN("6150-01-07")</f>
        <v>6150-01-07</v>
      </c>
      <c r="B167" s="1" t="str">
        <f>CLEAN("6150-01-78")</f>
        <v>6150-01-78</v>
      </c>
      <c r="C167" s="1">
        <v>2021</v>
      </c>
      <c r="D167" s="3">
        <v>44145</v>
      </c>
      <c r="E167" s="2" t="str">
        <f>CLEAN("MARQUETTE")</f>
        <v>MARQUETTE</v>
      </c>
      <c r="F167" s="1" t="str">
        <f>CLEAN("STH-022")</f>
        <v>STH-022</v>
      </c>
      <c r="G167" s="1">
        <v>0.19</v>
      </c>
      <c r="H167" s="1" t="str">
        <f>CLEAN("C MONTELLO  CHURCH STREET")</f>
        <v>C MONTELLO  CHURCH STREET</v>
      </c>
      <c r="I167" s="1" t="str">
        <f>CLEAN("N JCT STH 23 TO PARK STREET")</f>
        <v>N JCT STH 23 TO PARK STREET</v>
      </c>
      <c r="J167" s="1" t="str">
        <f>CLEAN("CONSTR/LOCAL UTILITY")</f>
        <v>CONSTR/LOCAL UTILITY</v>
      </c>
    </row>
    <row r="168" spans="1:10" ht="30" x14ac:dyDescent="0.25">
      <c r="A168" s="1" t="str">
        <f>CLEAN("1009-43-36")</f>
        <v>1009-43-36</v>
      </c>
      <c r="B168" s="1" t="str">
        <f>CLEAN("1009-43-66")</f>
        <v>1009-43-66</v>
      </c>
      <c r="C168" s="1">
        <v>2021</v>
      </c>
      <c r="D168" s="3">
        <v>44173</v>
      </c>
      <c r="E168" s="2" t="str">
        <f>CLEAN("REGION WIDE")</f>
        <v>REGION WIDE</v>
      </c>
      <c r="F168" s="1" t="str">
        <f>CLEAN("VAR-HWY")</f>
        <v>VAR-HWY</v>
      </c>
      <c r="G168" s="1">
        <v>0.38</v>
      </c>
      <c r="H168" s="1" t="str">
        <f>CLEAN("REGION WIDE CULVERT REPLACEMENT")</f>
        <v>REGION WIDE CULVERT REPLACEMENT</v>
      </c>
      <c r="I168" s="1" t="str">
        <f>CLEAN("LOCATIONS ON STN PER ANNUAL PLAN")</f>
        <v>LOCATIONS ON STN PER ANNUAL PLAN</v>
      </c>
      <c r="J168" s="1" t="str">
        <f>CLEAN("CONSTR/SHRM")</f>
        <v>CONSTR/SHRM</v>
      </c>
    </row>
    <row r="169" spans="1:10" x14ac:dyDescent="0.25">
      <c r="A169" s="1" t="str">
        <f>CLEAN("1170-16-31")</f>
        <v>1170-16-31</v>
      </c>
      <c r="B169" s="1" t="str">
        <f>CLEAN("1170-16-61")</f>
        <v>1170-16-61</v>
      </c>
      <c r="C169" s="1">
        <v>2021</v>
      </c>
      <c r="D169" s="3">
        <v>44390</v>
      </c>
      <c r="E169" s="2" t="str">
        <f>CLEAN("ONEIDA")</f>
        <v>ONEIDA</v>
      </c>
      <c r="F169" s="1" t="str">
        <f>CLEAN("USH-051")</f>
        <v>USH-051</v>
      </c>
      <c r="G169" s="1">
        <v>2.2200000000000002</v>
      </c>
      <c r="H169" s="1" t="str">
        <f>CLEAN("TOMAHAWK - MINOCQUA")</f>
        <v>TOMAHAWK - MINOCQUA</v>
      </c>
      <c r="I169" s="1" t="str">
        <f>CLEAN("CTH Y TO ONEIDA STREET")</f>
        <v>CTH Y TO ONEIDA STREET</v>
      </c>
      <c r="J169" s="1" t="str">
        <f>CLEAN("CONST/MILL OVERLAY/PM APPRVL 5-7-13")</f>
        <v>CONST/MILL OVERLAY/PM APPRVL 5-7-13</v>
      </c>
    </row>
    <row r="170" spans="1:10" x14ac:dyDescent="0.25">
      <c r="A170" s="1" t="str">
        <f>CLEAN("1600-14-00")</f>
        <v>1600-14-00</v>
      </c>
      <c r="B170" s="1" t="str">
        <f>CLEAN("1600-14-70")</f>
        <v>1600-14-70</v>
      </c>
      <c r="C170" s="1">
        <v>2021</v>
      </c>
      <c r="D170" s="3">
        <v>44390</v>
      </c>
      <c r="E170" s="2" t="str">
        <f>CLEAN("ONEIDA")</f>
        <v>ONEIDA</v>
      </c>
      <c r="F170" s="1" t="str">
        <f>CLEAN("USH-045")</f>
        <v>USH-045</v>
      </c>
      <c r="G170" s="1">
        <v>3.98</v>
      </c>
      <c r="H170" s="1" t="str">
        <f>CLEAN("ANTIGO - MONICO")</f>
        <v>ANTIGO - MONICO</v>
      </c>
      <c r="I170" s="1" t="str">
        <f>CLEAN("CTH Q TO SOUTH JUNCTION USH 8")</f>
        <v>CTH Q TO SOUTH JUNCTION USH 8</v>
      </c>
      <c r="J170" s="1" t="str">
        <f>CLEAN("CONST/RESURFACE")</f>
        <v>CONST/RESURFACE</v>
      </c>
    </row>
    <row r="171" spans="1:10" x14ac:dyDescent="0.25">
      <c r="A171" s="1" t="str">
        <f>CLEAN("1600-14-01")</f>
        <v>1600-14-01</v>
      </c>
      <c r="B171" s="1" t="str">
        <f>CLEAN("1600-14-71")</f>
        <v>1600-14-71</v>
      </c>
      <c r="C171" s="1">
        <v>2021</v>
      </c>
      <c r="D171" s="3">
        <v>44390</v>
      </c>
      <c r="E171" s="2" t="str">
        <f>CLEAN("ONEIDA")</f>
        <v>ONEIDA</v>
      </c>
      <c r="F171" s="1" t="str">
        <f>CLEAN("USH-045")</f>
        <v>USH-045</v>
      </c>
      <c r="G171" s="1">
        <v>1.649</v>
      </c>
      <c r="H171" s="1" t="str">
        <f>CLEAN("ANTIGO - MONICO")</f>
        <v>ANTIGO - MONICO</v>
      </c>
      <c r="I171" s="1" t="str">
        <f>CLEAN("CTH B TO CTH Q")</f>
        <v>CTH B TO CTH Q</v>
      </c>
      <c r="J171" s="1" t="str">
        <f>CLEAN("CONST/RECONDITION")</f>
        <v>CONST/RECONDITION</v>
      </c>
    </row>
    <row r="172" spans="1:10" x14ac:dyDescent="0.25">
      <c r="A172" s="1" t="str">
        <f>CLEAN("1166-00-09")</f>
        <v>1166-00-09</v>
      </c>
      <c r="B172" s="1" t="str">
        <f>CLEAN("1166-00-79")</f>
        <v>1166-00-79</v>
      </c>
      <c r="C172" s="1">
        <v>2021</v>
      </c>
      <c r="D172" s="3">
        <v>44390</v>
      </c>
      <c r="E172" s="2" t="str">
        <f t="shared" ref="E172:E177" si="4">CLEAN("PORTAGE")</f>
        <v>PORTAGE</v>
      </c>
      <c r="F172" s="1" t="str">
        <f>CLEAN("IH -039")</f>
        <v>IH -039</v>
      </c>
      <c r="G172" s="1">
        <v>3.2589999999999999</v>
      </c>
      <c r="H172" s="1" t="str">
        <f>CLEAN("STEVENS POINT - WAUSAU")</f>
        <v>STEVENS POINT - WAUSAU</v>
      </c>
      <c r="I172" s="1" t="str">
        <f>CLEAN("N 2ND ST TO CTH X")</f>
        <v>N 2ND ST TO CTH X</v>
      </c>
      <c r="J172" s="1" t="str">
        <f>CLEAN("RESURFACE")</f>
        <v>RESURFACE</v>
      </c>
    </row>
    <row r="173" spans="1:10" x14ac:dyDescent="0.25">
      <c r="A173" s="1" t="str">
        <f>CLEAN("1166-05-14")</f>
        <v>1166-05-14</v>
      </c>
      <c r="B173" s="1" t="str">
        <f>CLEAN("1166-05-84")</f>
        <v>1166-05-84</v>
      </c>
      <c r="C173" s="1">
        <v>2021</v>
      </c>
      <c r="D173" s="3">
        <v>44390</v>
      </c>
      <c r="E173" s="2" t="str">
        <f t="shared" si="4"/>
        <v>PORTAGE</v>
      </c>
      <c r="F173" s="1" t="str">
        <f>CLEAN("IH -039")</f>
        <v>IH -039</v>
      </c>
      <c r="G173" s="1">
        <v>0.65</v>
      </c>
      <c r="H173" s="1" t="str">
        <f>CLEAN("PLAINFIELD - STEVENS POINT")</f>
        <v>PLAINFIELD - STEVENS POINT</v>
      </c>
      <c r="I173" s="1" t="str">
        <f>CLEAN("CTH HH BRIDGE  B-49-0021")</f>
        <v>CTH HH BRIDGE  B-49-0021</v>
      </c>
      <c r="J173" s="1" t="str">
        <f>CLEAN("CONSTR/BRIDGE REHAB")</f>
        <v>CONSTR/BRIDGE REHAB</v>
      </c>
    </row>
    <row r="174" spans="1:10" x14ac:dyDescent="0.25">
      <c r="A174" s="1" t="str">
        <f>CLEAN("1166-06-05")</f>
        <v>1166-06-05</v>
      </c>
      <c r="B174" s="1" t="str">
        <f>CLEAN("1166-06-75")</f>
        <v>1166-06-75</v>
      </c>
      <c r="C174" s="1">
        <v>2021</v>
      </c>
      <c r="D174" s="3">
        <v>44390</v>
      </c>
      <c r="E174" s="2" t="str">
        <f t="shared" si="4"/>
        <v>PORTAGE</v>
      </c>
      <c r="F174" s="1" t="str">
        <f>CLEAN("IH -039")</f>
        <v>IH -039</v>
      </c>
      <c r="G174" s="1">
        <v>0.02</v>
      </c>
      <c r="H174" s="1" t="str">
        <f>CLEAN("PLAINFIELD - STEVENS POINT")</f>
        <v>PLAINFIELD - STEVENS POINT</v>
      </c>
      <c r="I174" s="1" t="str">
        <f>CLEAN("USH 10 B490024 &amp; NEW PEDESTRIAN BR")</f>
        <v>USH 10 B490024 &amp; NEW PEDESTRIAN BR</v>
      </c>
      <c r="J174" s="1" t="str">
        <f>CLEAN("CONSTR/BRIDGE REHAB &amp; NEW BRIDGE")</f>
        <v>CONSTR/BRIDGE REHAB &amp; NEW BRIDGE</v>
      </c>
    </row>
    <row r="175" spans="1:10" x14ac:dyDescent="0.25">
      <c r="A175" s="1" t="str">
        <f>CLEAN("1166-12-00")</f>
        <v>1166-12-00</v>
      </c>
      <c r="B175" s="1" t="str">
        <f>CLEAN("1166-12-70")</f>
        <v>1166-12-70</v>
      </c>
      <c r="C175" s="1">
        <v>2021</v>
      </c>
      <c r="D175" s="3">
        <v>44390</v>
      </c>
      <c r="E175" s="2" t="str">
        <f t="shared" si="4"/>
        <v>PORTAGE</v>
      </c>
      <c r="F175" s="1" t="str">
        <f>CLEAN("IH -039")</f>
        <v>IH -039</v>
      </c>
      <c r="G175" s="1">
        <v>0.27</v>
      </c>
      <c r="H175" s="1" t="str">
        <f>CLEAN("PLAINFIELD - STEVENS POINT")</f>
        <v>PLAINFIELD - STEVENS POINT</v>
      </c>
      <c r="I175" s="1" t="str">
        <f>CLEAN("CTH B INTERCHANGE")</f>
        <v>CTH B INTERCHANGE</v>
      </c>
      <c r="J175" s="1" t="str">
        <f>CLEAN("CONSTR/RECONSTRUCTION")</f>
        <v>CONSTR/RECONSTRUCTION</v>
      </c>
    </row>
    <row r="176" spans="1:10" x14ac:dyDescent="0.25">
      <c r="A176" s="1" t="str">
        <f>CLEAN("6414-00-09")</f>
        <v>6414-00-09</v>
      </c>
      <c r="B176" s="1" t="str">
        <f>CLEAN("6414-00-79")</f>
        <v>6414-00-79</v>
      </c>
      <c r="C176" s="1">
        <v>2021</v>
      </c>
      <c r="D176" s="3">
        <v>44173</v>
      </c>
      <c r="E176" s="2" t="str">
        <f t="shared" si="4"/>
        <v>PORTAGE</v>
      </c>
      <c r="F176" s="1" t="str">
        <f>CLEAN("BUS-051")</f>
        <v>BUS-051</v>
      </c>
      <c r="G176" s="1">
        <v>0.73</v>
      </c>
      <c r="H176" s="1" t="str">
        <f>CLEAN("VILLAGE OF PLOVER  POST ROAD")</f>
        <v>VILLAGE OF PLOVER  POST ROAD</v>
      </c>
      <c r="I176" s="1" t="str">
        <f>CLEAN("SPRINGVILLE DR TO TOMMY'S TURNPIKE")</f>
        <v>SPRINGVILLE DR TO TOMMY'S TURNPIKE</v>
      </c>
      <c r="J176" s="1" t="str">
        <f>CLEAN("JT RECONSTRUCTION")</f>
        <v>JT RECONSTRUCTION</v>
      </c>
    </row>
    <row r="177" spans="1:10" x14ac:dyDescent="0.25">
      <c r="A177" s="1" t="str">
        <f>CLEAN("6414-00-09")</f>
        <v>6414-00-09</v>
      </c>
      <c r="B177" s="1" t="str">
        <f>CLEAN("6414-00-89")</f>
        <v>6414-00-89</v>
      </c>
      <c r="C177" s="1">
        <v>2021</v>
      </c>
      <c r="D177" s="3">
        <v>44173</v>
      </c>
      <c r="E177" s="2" t="str">
        <f t="shared" si="4"/>
        <v>PORTAGE</v>
      </c>
      <c r="F177" s="1" t="str">
        <f>CLEAN("BUS-051")</f>
        <v>BUS-051</v>
      </c>
      <c r="G177" s="1">
        <v>0.73099999999999998</v>
      </c>
      <c r="H177" s="1" t="str">
        <f>CLEAN("VILLAGE OF PLOVER  POST ROAD")</f>
        <v>VILLAGE OF PLOVER  POST ROAD</v>
      </c>
      <c r="I177" s="1" t="str">
        <f>CLEAN("SPRINGVILLE DR TO TOMMY'S TURNPIKE")</f>
        <v>SPRINGVILLE DR TO TOMMY'S TURNPIKE</v>
      </c>
      <c r="J177" s="1" t="str">
        <f>CLEAN("LOCAL UTILITIES")</f>
        <v>LOCAL UTILITIES</v>
      </c>
    </row>
    <row r="178" spans="1:10" x14ac:dyDescent="0.25">
      <c r="A178" s="1" t="str">
        <f>CLEAN("1610-44-01")</f>
        <v>1610-44-01</v>
      </c>
      <c r="B178" s="1" t="str">
        <f>CLEAN("1610-44-71")</f>
        <v>1610-44-71</v>
      </c>
      <c r="C178" s="1">
        <v>2021</v>
      </c>
      <c r="D178" s="3">
        <v>44145</v>
      </c>
      <c r="E178" s="2" t="str">
        <f>CLEAN("PRICE")</f>
        <v>PRICE</v>
      </c>
      <c r="F178" s="1" t="str">
        <f>CLEAN("STH-013")</f>
        <v>STH-013</v>
      </c>
      <c r="G178" s="1">
        <v>1.9990000000000001</v>
      </c>
      <c r="H178" s="1" t="str">
        <f>CLEAN("C PHILLIPS  LAKE STREET")</f>
        <v>C PHILLIPS  LAKE STREET</v>
      </c>
      <c r="I178" s="1" t="str">
        <f>CLEAN("CTH D TO CTH F")</f>
        <v>CTH D TO CTH F</v>
      </c>
      <c r="J178" s="1" t="str">
        <f>CLEAN("CONST/RESURFACE")</f>
        <v>CONST/RESURFACE</v>
      </c>
    </row>
    <row r="179" spans="1:10" x14ac:dyDescent="0.25">
      <c r="A179" s="1" t="str">
        <f>CLEAN("1058-19-00")</f>
        <v>1058-19-00</v>
      </c>
      <c r="B179" s="1" t="str">
        <f>CLEAN("1058-19-70")</f>
        <v>1058-19-70</v>
      </c>
      <c r="C179" s="1">
        <v>2021</v>
      </c>
      <c r="D179" s="3">
        <v>44390</v>
      </c>
      <c r="E179" s="2" t="str">
        <f>CLEAN("SHAWANO")</f>
        <v>SHAWANO</v>
      </c>
      <c r="F179" s="1" t="str">
        <f>CLEAN("STH-029")</f>
        <v>STH-029</v>
      </c>
      <c r="G179" s="1">
        <v>6.91</v>
      </c>
      <c r="H179" s="1" t="str">
        <f>CLEAN("WITTENBERG - SHAWANO")</f>
        <v>WITTENBERG - SHAWANO</v>
      </c>
      <c r="I179" s="1" t="str">
        <f>CLEAN("CTH J TO CTH U")</f>
        <v>CTH J TO CTH U</v>
      </c>
      <c r="J179" s="1" t="str">
        <f>CLEAN("CONST/RESURFACE")</f>
        <v>CONST/RESURFACE</v>
      </c>
    </row>
    <row r="180" spans="1:10" x14ac:dyDescent="0.25">
      <c r="A180" s="1" t="str">
        <f>CLEAN("6108-02-30")</f>
        <v>6108-02-30</v>
      </c>
      <c r="B180" s="1" t="str">
        <f>CLEAN("6108-02-60")</f>
        <v>6108-02-60</v>
      </c>
      <c r="C180" s="1">
        <v>2021</v>
      </c>
      <c r="D180" s="3">
        <v>44208</v>
      </c>
      <c r="E180" s="2" t="str">
        <f>CLEAN("SHAWANO")</f>
        <v>SHAWANO</v>
      </c>
      <c r="F180" s="1" t="str">
        <f>CLEAN("STH-153")</f>
        <v>STH-153</v>
      </c>
      <c r="G180" s="1">
        <v>5.43</v>
      </c>
      <c r="H180" s="1" t="str">
        <f>CLEAN("ELDERON - USH 45")</f>
        <v>ELDERON - USH 45</v>
      </c>
      <c r="I180" s="1" t="str">
        <f>CLEAN("MARATHON COUNTY LINE TO USH 45")</f>
        <v>MARATHON COUNTY LINE TO USH 45</v>
      </c>
      <c r="J180" s="1" t="str">
        <f>CLEAN("CONST/PREV MAINT APPROVAL 6/1/11")</f>
        <v>CONST/PREV MAINT APPROVAL 6/1/11</v>
      </c>
    </row>
    <row r="181" spans="1:10" x14ac:dyDescent="0.25">
      <c r="A181" s="1" t="str">
        <f>CLEAN("9220-04-02")</f>
        <v>9220-04-02</v>
      </c>
      <c r="B181" s="1" t="str">
        <f>CLEAN("9220-04-72")</f>
        <v>9220-04-72</v>
      </c>
      <c r="C181" s="1">
        <v>2021</v>
      </c>
      <c r="D181" s="3">
        <v>44208</v>
      </c>
      <c r="E181" s="2" t="str">
        <f>CLEAN("SHAWANO")</f>
        <v>SHAWANO</v>
      </c>
      <c r="F181" s="1" t="str">
        <f>CLEAN("STH-117")</f>
        <v>STH-117</v>
      </c>
      <c r="G181" s="1">
        <v>0.62</v>
      </c>
      <c r="H181" s="1" t="str">
        <f>CLEAN("BONDUEL - CECIL")</f>
        <v>BONDUEL - CECIL</v>
      </c>
      <c r="I181" s="1" t="str">
        <f>CLEAN("EXPRESS WAY TO CTH BE")</f>
        <v>EXPRESS WAY TO CTH BE</v>
      </c>
      <c r="J181" s="1" t="str">
        <f>CLEAN("CONST/RESURFACE")</f>
        <v>CONST/RESURFACE</v>
      </c>
    </row>
    <row r="182" spans="1:10" x14ac:dyDescent="0.25">
      <c r="A182" s="1" t="str">
        <f>CLEAN("6420-00-02")</f>
        <v>6420-00-02</v>
      </c>
      <c r="B182" s="1" t="str">
        <f>CLEAN("6420-00-72")</f>
        <v>6420-00-72</v>
      </c>
      <c r="C182" s="1">
        <v>2021</v>
      </c>
      <c r="D182" s="3">
        <v>44145</v>
      </c>
      <c r="E182" s="2" t="str">
        <f>CLEAN("WAUPACA")</f>
        <v>WAUPACA</v>
      </c>
      <c r="F182" s="1" t="str">
        <f>CLEAN("STH-049")</f>
        <v>STH-049</v>
      </c>
      <c r="G182" s="1">
        <v>7.875</v>
      </c>
      <c r="H182" s="1" t="str">
        <f>CLEAN("WAUPACA - NORTHLAND")</f>
        <v>WAUPACA - NORTHLAND</v>
      </c>
      <c r="I182" s="1" t="str">
        <f>CLEAN("NORTH STREET TO DEPOT STREET")</f>
        <v>NORTH STREET TO DEPOT STREET</v>
      </c>
      <c r="J182" s="1" t="str">
        <f>CLEAN("CONSTR/RESURF")</f>
        <v>CONSTR/RESURF</v>
      </c>
    </row>
    <row r="183" spans="1:10" x14ac:dyDescent="0.25">
      <c r="A183" s="1" t="str">
        <f>CLEAN("6590-01-04")</f>
        <v>6590-01-04</v>
      </c>
      <c r="B183" s="1" t="str">
        <f>CLEAN("6590-01-74")</f>
        <v>6590-01-74</v>
      </c>
      <c r="C183" s="1">
        <v>2021</v>
      </c>
      <c r="D183" s="3">
        <v>44145</v>
      </c>
      <c r="E183" s="2" t="str">
        <f>CLEAN("WAUPACA")</f>
        <v>WAUPACA</v>
      </c>
      <c r="F183" s="1" t="str">
        <f>CLEAN("STH-022")</f>
        <v>STH-022</v>
      </c>
      <c r="G183" s="1">
        <v>3.48</v>
      </c>
      <c r="H183" s="1" t="str">
        <f>CLEAN("WAUPACA - CLINTONVILLE")</f>
        <v>WAUPACA - CLINTONVILLE</v>
      </c>
      <c r="I183" s="1" t="str">
        <f>CLEAN("STH 54 TO S JCT CTH B")</f>
        <v>STH 54 TO S JCT CTH B</v>
      </c>
      <c r="J183" s="1" t="str">
        <f>CLEAN("CONSTR/RESURF")</f>
        <v>CONSTR/RESURF</v>
      </c>
    </row>
    <row r="184" spans="1:10" x14ac:dyDescent="0.25">
      <c r="A184" s="1" t="str">
        <f>CLEAN("6590-01-05")</f>
        <v>6590-01-05</v>
      </c>
      <c r="B184" s="1" t="str">
        <f>CLEAN("6590-01-75")</f>
        <v>6590-01-75</v>
      </c>
      <c r="C184" s="1">
        <v>2021</v>
      </c>
      <c r="D184" s="3">
        <v>44145</v>
      </c>
      <c r="E184" s="2" t="str">
        <f>CLEAN("WAUPACA")</f>
        <v>WAUPACA</v>
      </c>
      <c r="F184" s="1" t="str">
        <f>CLEAN("STH-022")</f>
        <v>STH-022</v>
      </c>
      <c r="G184" s="1">
        <v>2.08</v>
      </c>
      <c r="H184" s="1" t="str">
        <f>CLEAN("WAUPACA - CLINTONVILLE")</f>
        <v>WAUPACA - CLINTONVILLE</v>
      </c>
      <c r="I184" s="1" t="str">
        <f>CLEAN("N JCT CTH N TO RISKE RD/W RIVER RD")</f>
        <v>N JCT CTH N TO RISKE RD/W RIVER RD</v>
      </c>
      <c r="J184" s="1" t="str">
        <f>CLEAN("CONSTR/RESURF")</f>
        <v>CONSTR/RESURF</v>
      </c>
    </row>
    <row r="185" spans="1:10" x14ac:dyDescent="0.25">
      <c r="A185" s="1" t="str">
        <f>CLEAN("6180-00-01")</f>
        <v>6180-00-01</v>
      </c>
      <c r="B185" s="1" t="str">
        <f>CLEAN("6180-00-71")</f>
        <v>6180-00-71</v>
      </c>
      <c r="C185" s="1">
        <v>2021</v>
      </c>
      <c r="D185" s="3">
        <v>44145</v>
      </c>
      <c r="E185" s="2" t="str">
        <f>CLEAN("WAUSHARA")</f>
        <v>WAUSHARA</v>
      </c>
      <c r="F185" s="1" t="str">
        <f>CLEAN("STH-021")</f>
        <v>STH-021</v>
      </c>
      <c r="G185" s="1">
        <v>0.93600000000000005</v>
      </c>
      <c r="H185" s="1" t="str">
        <f>CLEAN("REDGRANITE - OSHKOSH")</f>
        <v>REDGRANITE - OSHKOSH</v>
      </c>
      <c r="I185" s="1" t="str">
        <f>CLEAN("32ND DRIVE TO COTTONVILLE COURT")</f>
        <v>32ND DRIVE TO COTTONVILLE COURT</v>
      </c>
      <c r="J185" s="1" t="str">
        <f>CLEAN("CONSTR/RECOND")</f>
        <v>CONSTR/RECOND</v>
      </c>
    </row>
    <row r="186" spans="1:10" x14ac:dyDescent="0.25">
      <c r="A186" s="1" t="str">
        <f>CLEAN("6140-00-32")</f>
        <v>6140-00-32</v>
      </c>
      <c r="B186" s="1" t="str">
        <f>CLEAN("6140-00-62")</f>
        <v>6140-00-62</v>
      </c>
      <c r="C186" s="1">
        <v>2021</v>
      </c>
      <c r="D186" s="3">
        <v>44173</v>
      </c>
      <c r="E186" s="2" t="str">
        <f>CLEAN("WOOD")</f>
        <v>WOOD</v>
      </c>
      <c r="F186" s="1" t="str">
        <f>CLEAN("STH-013")</f>
        <v>STH-013</v>
      </c>
      <c r="G186" s="1">
        <v>3.04</v>
      </c>
      <c r="H186" s="1" t="str">
        <f>CLEAN("ADAMS - WISCONSIN RAPIDS")</f>
        <v>ADAMS - WISCONSIN RAPIDS</v>
      </c>
      <c r="I186" s="1" t="str">
        <f>CLEAN("STH 73 TO CTH Z")</f>
        <v>STH 73 TO CTH Z</v>
      </c>
      <c r="J186" s="1" t="str">
        <f>CLEAN("CONST/JT REPAIR PM APPROVED 3/25/15")</f>
        <v>CONST/JT REPAIR PM APPROVED 3/25/15</v>
      </c>
    </row>
    <row r="187" spans="1:10" x14ac:dyDescent="0.25">
      <c r="D187" s="3"/>
    </row>
    <row r="188" spans="1:10" x14ac:dyDescent="0.25">
      <c r="A188" s="1" t="str">
        <f>CLEAN("6566-00-02")</f>
        <v>6566-00-02</v>
      </c>
      <c r="B188" s="1" t="str">
        <f>CLEAN("6566-00-72")</f>
        <v>6566-00-72</v>
      </c>
      <c r="C188" s="1">
        <v>2022</v>
      </c>
      <c r="D188" s="3">
        <v>44418</v>
      </c>
      <c r="E188" s="2" t="str">
        <f>CLEAN("ADAMS")</f>
        <v>ADAMS</v>
      </c>
      <c r="F188" s="1" t="str">
        <f>CLEAN("STH-023")</f>
        <v>STH-023</v>
      </c>
      <c r="G188" s="1">
        <v>6.46</v>
      </c>
      <c r="H188" s="1" t="str">
        <f>CLEAN("WISCONSIN DELLS - ENDEAVOR")</f>
        <v>WISCONSIN DELLS - ENDEAVOR</v>
      </c>
      <c r="I188" s="1" t="str">
        <f>CLEAN("COLUMBIA CO LI TO MARQUETTE CO LI")</f>
        <v>COLUMBIA CO LI TO MARQUETTE CO LI</v>
      </c>
      <c r="J188" s="1" t="str">
        <f>CLEAN("CONST/RESURFACE")</f>
        <v>CONST/RESURFACE</v>
      </c>
    </row>
    <row r="189" spans="1:10" x14ac:dyDescent="0.25">
      <c r="A189" s="1" t="str">
        <f>CLEAN("9304-11-00")</f>
        <v>9304-11-00</v>
      </c>
      <c r="B189" s="1" t="str">
        <f>CLEAN("9304-11-70")</f>
        <v>9304-11-70</v>
      </c>
      <c r="C189" s="1">
        <v>2022</v>
      </c>
      <c r="D189" s="3">
        <v>44628</v>
      </c>
      <c r="E189" s="2" t="str">
        <f>CLEAN("FLORENCE")</f>
        <v>FLORENCE</v>
      </c>
      <c r="F189" s="1" t="str">
        <f>CLEAN("STH-101")</f>
        <v>STH-101</v>
      </c>
      <c r="G189" s="1">
        <v>8.7100000000000009</v>
      </c>
      <c r="H189" s="1" t="str">
        <f>CLEAN("ARMSTRONG CREEK - FLORENCE")</f>
        <v>ARMSTRONG CREEK - FLORENCE</v>
      </c>
      <c r="I189" s="1" t="str">
        <f>CLEAN("CTH F TO WOODS CREEK ROAD")</f>
        <v>CTH F TO WOODS CREEK ROAD</v>
      </c>
      <c r="J189" s="1" t="str">
        <f>CLEAN("CONST/RESURFACE")</f>
        <v>CONST/RESURFACE</v>
      </c>
    </row>
    <row r="190" spans="1:10" x14ac:dyDescent="0.25">
      <c r="A190" s="1" t="str">
        <f>CLEAN("1175-20-00")</f>
        <v>1175-20-00</v>
      </c>
      <c r="B190" s="1" t="str">
        <f>CLEAN("1175-20-70")</f>
        <v>1175-20-70</v>
      </c>
      <c r="C190" s="1">
        <v>2022</v>
      </c>
      <c r="D190" s="3">
        <v>44509</v>
      </c>
      <c r="E190" s="2" t="str">
        <f>CLEAN("IRON")</f>
        <v>IRON</v>
      </c>
      <c r="F190" s="1" t="str">
        <f>CLEAN("USH-051")</f>
        <v>USH-051</v>
      </c>
      <c r="G190" s="1">
        <v>2.5499999999999998</v>
      </c>
      <c r="H190" s="1" t="str">
        <f>CLEAN("MANITOWISH - HURLEY")</f>
        <v>MANITOWISH - HURLEY</v>
      </c>
      <c r="I190" s="1" t="str">
        <f>CLEAN("MOOSE LAKE ROAD TO SOUTH END ROAD")</f>
        <v>MOOSE LAKE ROAD TO SOUTH END ROAD</v>
      </c>
      <c r="J190" s="1" t="str">
        <f>CLEAN("CONST/PVRPLA")</f>
        <v>CONST/PVRPLA</v>
      </c>
    </row>
    <row r="191" spans="1:10" x14ac:dyDescent="0.25">
      <c r="A191" s="1" t="str">
        <f>CLEAN("1175-21-00")</f>
        <v>1175-21-00</v>
      </c>
      <c r="B191" s="1" t="str">
        <f>CLEAN("1175-19-61")</f>
        <v>1175-19-61</v>
      </c>
      <c r="C191" s="1">
        <v>2022</v>
      </c>
      <c r="D191" s="3">
        <v>44544</v>
      </c>
      <c r="E191" s="2" t="str">
        <f>CLEAN("IRON")</f>
        <v>IRON</v>
      </c>
      <c r="F191" s="1" t="str">
        <f>CLEAN("USH-051")</f>
        <v>USH-051</v>
      </c>
      <c r="G191" s="1">
        <v>0.08</v>
      </c>
      <c r="H191" s="1" t="str">
        <f>CLEAN("MANITOWISH - HURLEY")</f>
        <v>MANITOWISH - HURLEY</v>
      </c>
      <c r="I191" s="1" t="str">
        <f>CLEAN("USH 51 OVERHEAD SB  B-26-0006")</f>
        <v>USH 51 OVERHEAD SB  B-26-0006</v>
      </c>
      <c r="J191" s="1" t="str">
        <f>CLEAN("CONST/BRIDGE SHRM")</f>
        <v>CONST/BRIDGE SHRM</v>
      </c>
    </row>
    <row r="192" spans="1:10" x14ac:dyDescent="0.25">
      <c r="A192" s="1" t="str">
        <f>CLEAN("1175-21-00")</f>
        <v>1175-21-00</v>
      </c>
      <c r="B192" s="1" t="str">
        <f>CLEAN("1175-21-70")</f>
        <v>1175-21-70</v>
      </c>
      <c r="C192" s="1">
        <v>2022</v>
      </c>
      <c r="D192" s="3">
        <v>44544</v>
      </c>
      <c r="E192" s="2" t="str">
        <f>CLEAN("IRON")</f>
        <v>IRON</v>
      </c>
      <c r="F192" s="1" t="str">
        <f>CLEAN("USH-051")</f>
        <v>USH-051</v>
      </c>
      <c r="G192" s="1">
        <v>2.39</v>
      </c>
      <c r="H192" s="1" t="str">
        <f>CLEAN("MANITOWISH - HURLEY")</f>
        <v>MANITOWISH - HURLEY</v>
      </c>
      <c r="I192" s="1" t="str">
        <f>CLEAN("IRON STREET TO USH 2")</f>
        <v>IRON STREET TO USH 2</v>
      </c>
      <c r="J192" s="1" t="str">
        <f>CLEAN("CONST/RESURFACE")</f>
        <v>CONST/RESURFACE</v>
      </c>
    </row>
    <row r="193" spans="1:10" x14ac:dyDescent="0.25">
      <c r="A193" s="1" t="str">
        <f>CLEAN("9250-12-31")</f>
        <v>9250-12-31</v>
      </c>
      <c r="B193" s="1" t="str">
        <f>CLEAN("9250-12-61")</f>
        <v>9250-12-61</v>
      </c>
      <c r="C193" s="1">
        <v>2022</v>
      </c>
      <c r="D193" s="3">
        <v>44663</v>
      </c>
      <c r="E193" s="2" t="str">
        <f>CLEAN("IRON")</f>
        <v>IRON</v>
      </c>
      <c r="F193" s="1" t="str">
        <f>CLEAN("STH-077")</f>
        <v>STH-077</v>
      </c>
      <c r="G193" s="1">
        <v>7.0549999999999997</v>
      </c>
      <c r="H193" s="1" t="str">
        <f>CLEAN("MELLEN - HURLEY")</f>
        <v>MELLEN - HURLEY</v>
      </c>
      <c r="I193" s="1" t="str">
        <f>CLEAN("ASHLAND CO LINE TO UPSON LAKE ROAD")</f>
        <v>ASHLAND CO LINE TO UPSON LAKE ROAD</v>
      </c>
      <c r="J193" s="1" t="str">
        <f>CLEAN("CONST/PREV MAINT APPRVL 2/10/15")</f>
        <v>CONST/PREV MAINT APPRVL 2/10/15</v>
      </c>
    </row>
    <row r="194" spans="1:10" x14ac:dyDescent="0.25">
      <c r="A194" s="1" t="str">
        <f>CLEAN("9175-10-30")</f>
        <v>9175-10-30</v>
      </c>
      <c r="B194" s="1" t="str">
        <f>CLEAN("9175-10-60")</f>
        <v>9175-10-60</v>
      </c>
      <c r="C194" s="1">
        <v>2022</v>
      </c>
      <c r="D194" s="3">
        <v>44628</v>
      </c>
      <c r="E194" s="2" t="str">
        <f>CLEAN("LANGLADE")</f>
        <v>LANGLADE</v>
      </c>
      <c r="F194" s="1" t="str">
        <f>CLEAN("STH-052")</f>
        <v>STH-052</v>
      </c>
      <c r="G194" s="1">
        <v>3.49</v>
      </c>
      <c r="H194" s="1" t="str">
        <f>CLEAN("ANTIGO - LILY")</f>
        <v>ANTIGO - LILY</v>
      </c>
      <c r="I194" s="1" t="str">
        <f>CLEAN("KENT ROAD TO STH 55")</f>
        <v>KENT ROAD TO STH 55</v>
      </c>
      <c r="J194" s="1" t="str">
        <f>CLEAN("CONST/PREV MAINT APPROVAL 6/1/11")</f>
        <v>CONST/PREV MAINT APPROVAL 6/1/11</v>
      </c>
    </row>
    <row r="195" spans="1:10" x14ac:dyDescent="0.25">
      <c r="A195" s="1" t="str">
        <f>CLEAN("1176-02-09")</f>
        <v>1176-02-09</v>
      </c>
      <c r="B195" s="1" t="str">
        <f>CLEAN("1176-02-79")</f>
        <v>1176-02-79</v>
      </c>
      <c r="C195" s="1">
        <v>2022</v>
      </c>
      <c r="D195" s="3">
        <v>44544</v>
      </c>
      <c r="E195" s="2" t="str">
        <f>CLEAN("LINCOLN")</f>
        <v>LINCOLN</v>
      </c>
      <c r="F195" s="1" t="str">
        <f>CLEAN("USH-051")</f>
        <v>USH-051</v>
      </c>
      <c r="G195" s="1">
        <v>9.02</v>
      </c>
      <c r="H195" s="1" t="str">
        <f>CLEAN("TOMAHAWK - MINOCQUA")</f>
        <v>TOMAHAWK - MINOCQUA</v>
      </c>
      <c r="I195" s="1" t="str">
        <f>CLEAN("CTH S TO USH 8 SOUTHBOUND")</f>
        <v>CTH S TO USH 8 SOUTHBOUND</v>
      </c>
      <c r="J195" s="1" t="str">
        <f>CLEAN("CONST/RESURFACE")</f>
        <v>CONST/RESURFACE</v>
      </c>
    </row>
    <row r="196" spans="1:10" x14ac:dyDescent="0.25">
      <c r="A196" s="1" t="str">
        <f>CLEAN("1176-23-32")</f>
        <v>1176-23-32</v>
      </c>
      <c r="B196" s="1" t="str">
        <f>CLEAN("1176-23-62")</f>
        <v>1176-23-62</v>
      </c>
      <c r="C196" s="1">
        <v>2022</v>
      </c>
      <c r="D196" s="3">
        <v>44544</v>
      </c>
      <c r="E196" s="2" t="str">
        <f>CLEAN("LINCOLN")</f>
        <v>LINCOLN</v>
      </c>
      <c r="F196" s="1" t="str">
        <f>CLEAN("USH-051")</f>
        <v>USH-051</v>
      </c>
      <c r="G196" s="1">
        <v>2.95</v>
      </c>
      <c r="H196" s="1" t="str">
        <f>CLEAN("MERRILL - MINOCQUA")</f>
        <v>MERRILL - MINOCQUA</v>
      </c>
      <c r="I196" s="1" t="str">
        <f>CLEAN("B-35-70 71 120 133 123 &amp; 124")</f>
        <v>B-35-70 71 120 133 123 &amp; 124</v>
      </c>
      <c r="J196" s="1" t="str">
        <f>CLEAN("CONST/EPOXY OVERLAY/BRSHRM")</f>
        <v>CONST/EPOXY OVERLAY/BRSHRM</v>
      </c>
    </row>
    <row r="197" spans="1:10" x14ac:dyDescent="0.25">
      <c r="A197" s="1" t="str">
        <f>CLEAN("1176-23-33")</f>
        <v>1176-23-33</v>
      </c>
      <c r="B197" s="1" t="str">
        <f>CLEAN("1176-23-63")</f>
        <v>1176-23-63</v>
      </c>
      <c r="C197" s="1">
        <v>2022</v>
      </c>
      <c r="D197" s="3">
        <v>44544</v>
      </c>
      <c r="E197" s="2" t="str">
        <f>CLEAN("LINCOLN")</f>
        <v>LINCOLN</v>
      </c>
      <c r="F197" s="1" t="str">
        <f>CLEAN("USH-051")</f>
        <v>USH-051</v>
      </c>
      <c r="G197" s="1">
        <v>0.91</v>
      </c>
      <c r="H197" s="1" t="str">
        <f>CLEAN("WAUSAU - TOMAHAWK")</f>
        <v>WAUSAU - TOMAHAWK</v>
      </c>
      <c r="I197" s="1" t="str">
        <f>CLEAN("B-35-0022 0025 0062 &amp; 0063")</f>
        <v>B-35-0022 0025 0062 &amp; 0063</v>
      </c>
      <c r="J197" s="1" t="str">
        <f>CLEAN("CONST/RIP RAP PIERS/BRSHRM")</f>
        <v>CONST/RIP RAP PIERS/BRSHRM</v>
      </c>
    </row>
    <row r="198" spans="1:10" x14ac:dyDescent="0.25">
      <c r="A198" s="1" t="str">
        <f>CLEAN("1176-23-34")</f>
        <v>1176-23-34</v>
      </c>
      <c r="B198" s="1" t="str">
        <f>CLEAN("1176-23-64")</f>
        <v>1176-23-64</v>
      </c>
      <c r="C198" s="1">
        <v>2022</v>
      </c>
      <c r="D198" s="3">
        <v>44544</v>
      </c>
      <c r="E198" s="2" t="str">
        <f>CLEAN("LINCOLN")</f>
        <v>LINCOLN</v>
      </c>
      <c r="F198" s="1" t="str">
        <f>CLEAN("USH-051")</f>
        <v>USH-051</v>
      </c>
      <c r="G198" s="1">
        <v>0.05</v>
      </c>
      <c r="H198" s="1" t="str">
        <f>CLEAN("TOMAHAWK - MINOCQUA")</f>
        <v>TOMAHAWK - MINOCQUA</v>
      </c>
      <c r="I198" s="1" t="str">
        <f>CLEAN("KAPHAEM RD BRIDGES B-35-0056  57")</f>
        <v>KAPHAEM RD BRIDGES B-35-0056  57</v>
      </c>
      <c r="J198" s="1" t="str">
        <f>CLEAN("CONST/BRSHRM OVERLAY")</f>
        <v>CONST/BRSHRM OVERLAY</v>
      </c>
    </row>
    <row r="199" spans="1:10" x14ac:dyDescent="0.25">
      <c r="A199" s="1" t="str">
        <f>CLEAN("1590-14-00")</f>
        <v>1590-14-00</v>
      </c>
      <c r="B199" s="1" t="str">
        <f>CLEAN("1590-14-70")</f>
        <v>1590-14-70</v>
      </c>
      <c r="C199" s="1">
        <v>2022</v>
      </c>
      <c r="D199" s="3">
        <v>44572</v>
      </c>
      <c r="E199" s="2" t="str">
        <f>CLEAN("LINCOLN")</f>
        <v>LINCOLN</v>
      </c>
      <c r="F199" s="1" t="str">
        <f>CLEAN("USH-008")</f>
        <v>USH-008</v>
      </c>
      <c r="G199" s="1">
        <v>0.63</v>
      </c>
      <c r="H199" s="1" t="str">
        <f>CLEAN("BRADLEY - RHINELANDER")</f>
        <v>BRADLEY - RHINELANDER</v>
      </c>
      <c r="I199" s="1" t="str">
        <f>CLEAN("KLADE ROAD TO GATEWOOD HEIGHTS ROAD")</f>
        <v>KLADE ROAD TO GATEWOOD HEIGHTS ROAD</v>
      </c>
      <c r="J199" s="1" t="str">
        <f>CLEAN("CONST/PAVEMENT REPLACEMENT")</f>
        <v>CONST/PAVEMENT REPLACEMENT</v>
      </c>
    </row>
    <row r="200" spans="1:10" x14ac:dyDescent="0.25">
      <c r="A200" s="1" t="str">
        <f>CLEAN("1009-45-36")</f>
        <v>1009-45-36</v>
      </c>
      <c r="B200" s="1" t="str">
        <f>CLEAN("1009-45-66")</f>
        <v>1009-45-66</v>
      </c>
      <c r="C200" s="1">
        <v>2022</v>
      </c>
      <c r="D200" s="3">
        <v>44572</v>
      </c>
      <c r="E200" s="2" t="str">
        <f>CLEAN("MARATHON")</f>
        <v>MARATHON</v>
      </c>
      <c r="F200" s="1" t="str">
        <f>CLEAN("STH-029")</f>
        <v>STH-029</v>
      </c>
      <c r="G200" s="1">
        <v>0.61099999999999999</v>
      </c>
      <c r="H200" s="1" t="str">
        <f>CLEAN("VARIOUS STRUCTURES MARATHON COUNTY")</f>
        <v>VARIOUS STRUCTURES MARATHON COUNTY</v>
      </c>
      <c r="I200" s="1" t="str">
        <f>CLEAN("VARIOUS STRUCTURES")</f>
        <v>VARIOUS STRUCTURES</v>
      </c>
      <c r="J200" s="1" t="str">
        <f>CLEAN("CONST/BRSHRM/EPOXY OVERLAYS")</f>
        <v>CONST/BRSHRM/EPOXY OVERLAYS</v>
      </c>
    </row>
    <row r="201" spans="1:10" x14ac:dyDescent="0.25">
      <c r="A201" s="1" t="str">
        <f>CLEAN("1053-02-09")</f>
        <v>1053-02-09</v>
      </c>
      <c r="B201" s="1" t="str">
        <f>CLEAN("1053-02-79")</f>
        <v>1053-02-79</v>
      </c>
      <c r="C201" s="1">
        <v>2022</v>
      </c>
      <c r="D201" s="3">
        <v>44600</v>
      </c>
      <c r="E201" s="2" t="str">
        <f>CLEAN("MARATHON")</f>
        <v>MARATHON</v>
      </c>
      <c r="F201" s="1" t="str">
        <f>CLEAN("STH-029")</f>
        <v>STH-029</v>
      </c>
      <c r="G201" s="1">
        <v>1.34</v>
      </c>
      <c r="H201" s="1" t="str">
        <f>CLEAN("WAUSAU - WITTENBERG")</f>
        <v>WAUSAU - WITTENBERG</v>
      </c>
      <c r="I201" s="1" t="str">
        <f>CLEAN("US 51 TO BUS 51  WB")</f>
        <v>US 51 TO BUS 51  WB</v>
      </c>
      <c r="J201" s="1" t="str">
        <f>CLEAN("RECONSTRUCT")</f>
        <v>RECONSTRUCT</v>
      </c>
    </row>
    <row r="202" spans="1:10" x14ac:dyDescent="0.25">
      <c r="A202" s="1" t="str">
        <f>CLEAN("1053-02-30")</f>
        <v>1053-02-30</v>
      </c>
      <c r="B202" s="1" t="str">
        <f>CLEAN("1053-02-65")</f>
        <v>1053-02-65</v>
      </c>
      <c r="C202" s="1">
        <v>2022</v>
      </c>
      <c r="D202" s="3">
        <v>44544</v>
      </c>
      <c r="E202" s="2" t="str">
        <f>CLEAN("MARATHON")</f>
        <v>MARATHON</v>
      </c>
      <c r="F202" s="1" t="str">
        <f>CLEAN("STH-029")</f>
        <v>STH-029</v>
      </c>
      <c r="G202" s="1">
        <v>6.01</v>
      </c>
      <c r="H202" s="1" t="str">
        <f>CLEAN("WAUSAU - WITTENBERG")</f>
        <v>WAUSAU - WITTENBERG</v>
      </c>
      <c r="I202" s="1" t="str">
        <f>CLEAN("BUS 51 TO CTH J")</f>
        <v>BUS 51 TO CTH J</v>
      </c>
      <c r="J202" s="1" t="str">
        <f>CLEAN("CONST/PM APPVAL 6/1/11 JOINT REPAIR")</f>
        <v>CONST/PM APPVAL 6/1/11 JOINT REPAIR</v>
      </c>
    </row>
    <row r="203" spans="1:10" x14ac:dyDescent="0.25">
      <c r="A203" s="1" t="str">
        <f>CLEAN("1053-02-32")</f>
        <v>1053-02-32</v>
      </c>
      <c r="B203" s="1" t="str">
        <f>CLEAN("1053-02-62")</f>
        <v>1053-02-62</v>
      </c>
      <c r="C203" s="1">
        <v>2022</v>
      </c>
      <c r="D203" s="3">
        <v>44544</v>
      </c>
      <c r="E203" s="2" t="str">
        <f>CLEAN("MARATHON")</f>
        <v>MARATHON</v>
      </c>
      <c r="F203" s="1" t="str">
        <f>CLEAN("STH-029")</f>
        <v>STH-029</v>
      </c>
      <c r="G203" s="1">
        <v>0.41</v>
      </c>
      <c r="H203" s="1" t="str">
        <f>CLEAN("WAUSAU - WITTENBERG")</f>
        <v>WAUSAU - WITTENBERG</v>
      </c>
      <c r="I203" s="1" t="str">
        <f>CLEAN("B-37-179 180 181 182")</f>
        <v>B-37-179 180 181 182</v>
      </c>
      <c r="J203" s="1" t="str">
        <f>CLEAN("CONST/PREV MAINTENANCE 2/3/11")</f>
        <v>CONST/PREV MAINTENANCE 2/3/11</v>
      </c>
    </row>
    <row r="204" spans="1:10" x14ac:dyDescent="0.25">
      <c r="A204" s="1" t="str">
        <f>CLEAN("1620-01-02")</f>
        <v>1620-01-02</v>
      </c>
      <c r="B204" s="1" t="str">
        <f>CLEAN("1620-01-62")</f>
        <v>1620-01-62</v>
      </c>
      <c r="C204" s="1">
        <v>2022</v>
      </c>
      <c r="D204" s="3">
        <v>44663</v>
      </c>
      <c r="E204" s="2" t="str">
        <f>CLEAN("MARATHON")</f>
        <v>MARATHON</v>
      </c>
      <c r="F204" s="1" t="str">
        <f>CLEAN("STH-013")</f>
        <v>STH-013</v>
      </c>
      <c r="G204" s="1">
        <v>10.24</v>
      </c>
      <c r="H204" s="1" t="str">
        <f>CLEAN("MARSHFIELD - ABBOTSFORD")</f>
        <v>MARSHFIELD - ABBOTSFORD</v>
      </c>
      <c r="I204" s="1" t="str">
        <f>CLEAN("STH 98 TO SOUTH JUNCTION CTH N")</f>
        <v>STH 98 TO SOUTH JUNCTION CTH N</v>
      </c>
      <c r="J204" s="1" t="str">
        <f>CLEAN("CONSTR/PREV MAINT APPRVL 3/25/15")</f>
        <v>CONSTR/PREV MAINT APPRVL 3/25/15</v>
      </c>
    </row>
    <row r="205" spans="1:10" x14ac:dyDescent="0.25">
      <c r="A205" s="1" t="str">
        <f>CLEAN("1166-04-12")</f>
        <v>1166-04-12</v>
      </c>
      <c r="B205" s="1" t="str">
        <f>CLEAN("1166-04-82")</f>
        <v>1166-04-82</v>
      </c>
      <c r="C205" s="1">
        <v>2022</v>
      </c>
      <c r="D205" s="3">
        <v>44453</v>
      </c>
      <c r="E205" s="2" t="str">
        <f>CLEAN("MARQUETTE")</f>
        <v>MARQUETTE</v>
      </c>
      <c r="F205" s="1" t="str">
        <f>CLEAN("IH -039")</f>
        <v>IH -039</v>
      </c>
      <c r="G205" s="1">
        <v>14.48</v>
      </c>
      <c r="H205" s="1" t="str">
        <f>CLEAN("PORTAGE - PACKWAUKEE")</f>
        <v>PORTAGE - PACKWAUKEE</v>
      </c>
      <c r="I205" s="1" t="str">
        <f>CLEAN("COLUMBIA CO. LINE TO CTH M")</f>
        <v>COLUMBIA CO. LINE TO CTH M</v>
      </c>
      <c r="J205" s="1" t="str">
        <f>CLEAN("RESURFACE")</f>
        <v>RESURFACE</v>
      </c>
    </row>
    <row r="206" spans="1:10" x14ac:dyDescent="0.25">
      <c r="A206" s="1" t="str">
        <f>CLEAN("1166-05-05")</f>
        <v>1166-05-05</v>
      </c>
      <c r="B206" s="1" t="str">
        <f>CLEAN("1166-05-75")</f>
        <v>1166-05-75</v>
      </c>
      <c r="C206" s="1">
        <v>2022</v>
      </c>
      <c r="D206" s="3">
        <v>44453</v>
      </c>
      <c r="E206" s="2" t="str">
        <f>CLEAN("MARQUETTE")</f>
        <v>MARQUETTE</v>
      </c>
      <c r="F206" s="1" t="str">
        <f>CLEAN("IH -039")</f>
        <v>IH -039</v>
      </c>
      <c r="G206" s="1">
        <v>7.48</v>
      </c>
      <c r="H206" s="1" t="str">
        <f>CLEAN("PACKWAUKEE - COLOMA")</f>
        <v>PACKWAUKEE - COLOMA</v>
      </c>
      <c r="I206" s="1" t="str">
        <f>CLEAN("CTH M TO CTH Z")</f>
        <v>CTH M TO CTH Z</v>
      </c>
      <c r="J206" s="1" t="str">
        <f>CLEAN("RESURFACE")</f>
        <v>RESURFACE</v>
      </c>
    </row>
    <row r="207" spans="1:10" x14ac:dyDescent="0.25">
      <c r="A207" s="1" t="str">
        <f>CLEAN("1430-01-06")</f>
        <v>1430-01-06</v>
      </c>
      <c r="B207" s="1" t="str">
        <f>CLEAN("1430-01-66")</f>
        <v>1430-01-66</v>
      </c>
      <c r="C207" s="1">
        <v>2022</v>
      </c>
      <c r="D207" s="3">
        <v>44418</v>
      </c>
      <c r="E207" s="2" t="str">
        <f>CLEAN("MARQUETTE")</f>
        <v>MARQUETTE</v>
      </c>
      <c r="F207" s="1" t="str">
        <f>CLEAN("STH-023")</f>
        <v>STH-023</v>
      </c>
      <c r="G207" s="1">
        <v>9.9600000000000009</v>
      </c>
      <c r="H207" s="1" t="str">
        <f>CLEAN("ENDEAVOR - PRINCETON")</f>
        <v>ENDEAVOR - PRINCETON</v>
      </c>
      <c r="I207" s="1" t="str">
        <f>CLEAN("STH 22 TO OAK TREE ACRES")</f>
        <v>STH 22 TO OAK TREE ACRES</v>
      </c>
      <c r="J207" s="1" t="str">
        <f>CLEAN("CONSTR/PREV MAINT APPRVL 3/25/15")</f>
        <v>CONSTR/PREV MAINT APPRVL 3/25/15</v>
      </c>
    </row>
    <row r="208" spans="1:10" x14ac:dyDescent="0.25">
      <c r="A208" s="1" t="str">
        <f>CLEAN("6054-06-02")</f>
        <v>6054-06-02</v>
      </c>
      <c r="B208" s="1" t="str">
        <f>CLEAN("6054-06-72")</f>
        <v>6054-06-72</v>
      </c>
      <c r="C208" s="1">
        <v>2022</v>
      </c>
      <c r="D208" s="3">
        <v>44544</v>
      </c>
      <c r="E208" s="2" t="str">
        <f>CLEAN("MARQUETTE")</f>
        <v>MARQUETTE</v>
      </c>
      <c r="F208" s="1" t="str">
        <f>CLEAN("STH-022")</f>
        <v>STH-022</v>
      </c>
      <c r="G208" s="1">
        <v>5.47</v>
      </c>
      <c r="H208" s="1" t="str">
        <f>CLEAN("STH 60 - MONTELLO")</f>
        <v>STH 60 - MONTELLO</v>
      </c>
      <c r="I208" s="1" t="str">
        <f>CLEAN("COLUMBIA CO LINE TO B-39-0062")</f>
        <v>COLUMBIA CO LINE TO B-39-0062</v>
      </c>
      <c r="J208" s="1" t="str">
        <f>CLEAN("RESURFACE")</f>
        <v>RESURFACE</v>
      </c>
    </row>
    <row r="209" spans="1:10" x14ac:dyDescent="0.25">
      <c r="A209" s="1" t="str">
        <f>CLEAN("6054-06-02")</f>
        <v>6054-06-02</v>
      </c>
      <c r="B209" s="1" t="str">
        <f>CLEAN("6054-06-73")</f>
        <v>6054-06-73</v>
      </c>
      <c r="C209" s="1">
        <v>2022</v>
      </c>
      <c r="D209" s="3">
        <v>44544</v>
      </c>
      <c r="E209" s="2" t="str">
        <f>CLEAN("MARQUETTE")</f>
        <v>MARQUETTE</v>
      </c>
      <c r="F209" s="1" t="str">
        <f>CLEAN("STH-022")</f>
        <v>STH-022</v>
      </c>
      <c r="G209" s="1">
        <v>5.18</v>
      </c>
      <c r="H209" s="1" t="str">
        <f>CLEAN("STH 60 - MONTELLO")</f>
        <v>STH 60 - MONTELLO</v>
      </c>
      <c r="I209" s="1" t="str">
        <f>CLEAN("B-39-0062 TO 5TH STREET")</f>
        <v>B-39-0062 TO 5TH STREET</v>
      </c>
      <c r="J209" s="1" t="str">
        <f>CLEAN("RESURFACE")</f>
        <v>RESURFACE</v>
      </c>
    </row>
    <row r="210" spans="1:10" ht="30" x14ac:dyDescent="0.25">
      <c r="A210" s="1" t="str">
        <f>CLEAN("1009-43-37")</f>
        <v>1009-43-37</v>
      </c>
      <c r="B210" s="1" t="str">
        <f>CLEAN("1009-43-67")</f>
        <v>1009-43-67</v>
      </c>
      <c r="C210" s="1">
        <v>2022</v>
      </c>
      <c r="D210" s="3">
        <v>44544</v>
      </c>
      <c r="E210" s="2" t="str">
        <f>CLEAN("REGION WIDE")</f>
        <v>REGION WIDE</v>
      </c>
      <c r="F210" s="1" t="str">
        <f>CLEAN("VAR-HWY")</f>
        <v>VAR-HWY</v>
      </c>
      <c r="G210" s="1">
        <v>0.38</v>
      </c>
      <c r="H210" s="1" t="str">
        <f>CLEAN("REGION WIDE CULVERT REPLACEMENT")</f>
        <v>REGION WIDE CULVERT REPLACEMENT</v>
      </c>
      <c r="I210" s="1" t="str">
        <f>CLEAN("LOCATIONS ON STN PER ANNUAL PLAN")</f>
        <v>LOCATIONS ON STN PER ANNUAL PLAN</v>
      </c>
      <c r="J210" s="1" t="str">
        <f>CLEAN("CONSTR/SHRM")</f>
        <v>CONSTR/SHRM</v>
      </c>
    </row>
    <row r="211" spans="1:10" x14ac:dyDescent="0.25">
      <c r="A211" s="1" t="str">
        <f>CLEAN("1580-30-00")</f>
        <v>1580-30-00</v>
      </c>
      <c r="B211" s="1" t="str">
        <f>CLEAN("1580-30-71")</f>
        <v>1580-30-71</v>
      </c>
      <c r="C211" s="1">
        <v>2022</v>
      </c>
      <c r="D211" s="3">
        <v>44509</v>
      </c>
      <c r="E211" s="2" t="str">
        <f>CLEAN("ONEIDA")</f>
        <v>ONEIDA</v>
      </c>
      <c r="F211" s="1" t="str">
        <f>CLEAN("USH-008")</f>
        <v>USH-008</v>
      </c>
      <c r="G211" s="1">
        <v>3.96</v>
      </c>
      <c r="H211" s="1" t="str">
        <f>CLEAN("PRENTICE - BRADLEY")</f>
        <v>PRENTICE - BRADLEY</v>
      </c>
      <c r="I211" s="1" t="str">
        <f>CLEAN("CTH YY TO TRACY ROAD")</f>
        <v>CTH YY TO TRACY ROAD</v>
      </c>
      <c r="J211" s="1" t="str">
        <f>CLEAN("CONST/PAVEMENT REPLACEMENT")</f>
        <v>CONST/PAVEMENT REPLACEMENT</v>
      </c>
    </row>
    <row r="212" spans="1:10" x14ac:dyDescent="0.25">
      <c r="A212" s="1" t="str">
        <f>CLEAN("1580-30-02")</f>
        <v>1580-30-02</v>
      </c>
      <c r="B212" s="1" t="str">
        <f>CLEAN("1580-30-72")</f>
        <v>1580-30-72</v>
      </c>
      <c r="C212" s="1">
        <v>2022</v>
      </c>
      <c r="D212" s="3">
        <v>44509</v>
      </c>
      <c r="E212" s="2" t="str">
        <f>CLEAN("ONEIDA")</f>
        <v>ONEIDA</v>
      </c>
      <c r="F212" s="1" t="str">
        <f>CLEAN("USH-008")</f>
        <v>USH-008</v>
      </c>
      <c r="G212" s="1">
        <v>3.032</v>
      </c>
      <c r="H212" s="1" t="str">
        <f>CLEAN("PRENTICE - BRADLEY")</f>
        <v>PRENTICE - BRADLEY</v>
      </c>
      <c r="I212" s="1" t="str">
        <f>CLEAN("TRACY ROAD TO MCCORD ROAD")</f>
        <v>TRACY ROAD TO MCCORD ROAD</v>
      </c>
      <c r="J212" s="1" t="str">
        <f>CLEAN("CONST/PAVEMENT REPLACEMENT")</f>
        <v>CONST/PAVEMENT REPLACEMENT</v>
      </c>
    </row>
    <row r="213" spans="1:10" x14ac:dyDescent="0.25">
      <c r="A213" s="1" t="str">
        <f>CLEAN("9040-02-30")</f>
        <v>9040-02-30</v>
      </c>
      <c r="B213" s="1" t="str">
        <f>CLEAN("9040-02-60")</f>
        <v>9040-02-60</v>
      </c>
      <c r="C213" s="1">
        <v>2022</v>
      </c>
      <c r="D213" s="3">
        <v>44418</v>
      </c>
      <c r="E213" s="2" t="str">
        <f>CLEAN("ONEIDA")</f>
        <v>ONEIDA</v>
      </c>
      <c r="F213" s="1" t="str">
        <f>CLEAN("STH-017")</f>
        <v>STH-017</v>
      </c>
      <c r="G213" s="1">
        <v>1.0669999999999999</v>
      </c>
      <c r="H213" s="1" t="str">
        <f>CLEAN("RHINELANDER - EAGLE RIVER")</f>
        <v>RHINELANDER - EAGLE RIVER</v>
      </c>
      <c r="I213" s="1" t="str">
        <f>CLEAN("STEVENS STREET TO POLLYANNA ROAD")</f>
        <v>STEVENS STREET TO POLLYANNA ROAD</v>
      </c>
      <c r="J213" s="1" t="str">
        <f>CLEAN("CONST/PREV MAINT APPRVL 3/25/15")</f>
        <v>CONST/PREV MAINT APPRVL 3/25/15</v>
      </c>
    </row>
    <row r="214" spans="1:10" x14ac:dyDescent="0.25">
      <c r="A214" s="1" t="str">
        <f>CLEAN("9040-03-30")</f>
        <v>9040-03-30</v>
      </c>
      <c r="B214" s="1" t="str">
        <f>CLEAN("9040-03-60")</f>
        <v>9040-03-60</v>
      </c>
      <c r="C214" s="1">
        <v>2022</v>
      </c>
      <c r="D214" s="3">
        <v>44418</v>
      </c>
      <c r="E214" s="2" t="str">
        <f>CLEAN("ONEIDA")</f>
        <v>ONEIDA</v>
      </c>
      <c r="F214" s="1" t="str">
        <f>CLEAN("STH-017")</f>
        <v>STH-017</v>
      </c>
      <c r="G214" s="1">
        <v>3.1960000000000002</v>
      </c>
      <c r="H214" s="1" t="str">
        <f>CLEAN("RHINELANDER - EAGLE RIVER")</f>
        <v>RHINELANDER - EAGLE RIVER</v>
      </c>
      <c r="I214" s="1" t="str">
        <f>CLEAN("USH 8 TO STEVENS STREET")</f>
        <v>USH 8 TO STEVENS STREET</v>
      </c>
      <c r="J214" s="1" t="str">
        <f>CLEAN("CONST/PREV MAINT APPRVL 3/25/15")</f>
        <v>CONST/PREV MAINT APPRVL 3/25/15</v>
      </c>
    </row>
    <row r="215" spans="1:10" x14ac:dyDescent="0.25">
      <c r="A215" s="1" t="str">
        <f>CLEAN("1166-00-11")</f>
        <v>1166-00-11</v>
      </c>
      <c r="B215" s="1" t="str">
        <f>CLEAN("1166-00-81")</f>
        <v>1166-00-81</v>
      </c>
      <c r="C215" s="1">
        <v>2022</v>
      </c>
      <c r="D215" s="3">
        <v>44600</v>
      </c>
      <c r="E215" s="2" t="str">
        <f t="shared" ref="E215:E221" si="5">CLEAN("PORTAGE")</f>
        <v>PORTAGE</v>
      </c>
      <c r="F215" s="1" t="str">
        <f>CLEAN("IH -039")</f>
        <v>IH -039</v>
      </c>
      <c r="G215" s="1">
        <v>9.8629999999999995</v>
      </c>
      <c r="H215" s="1" t="str">
        <f>CLEAN("STEVENS POINT - WAUSAU")</f>
        <v>STEVENS POINT - WAUSAU</v>
      </c>
      <c r="I215" s="1" t="str">
        <f>CLEAN("CTH X TO STH 34")</f>
        <v>CTH X TO STH 34</v>
      </c>
      <c r="J215" s="1" t="str">
        <f>CLEAN("RESURFACE")</f>
        <v>RESURFACE</v>
      </c>
    </row>
    <row r="216" spans="1:10" x14ac:dyDescent="0.25">
      <c r="A216" s="1" t="str">
        <f>CLEAN("1166-00-32")</f>
        <v>1166-00-32</v>
      </c>
      <c r="B216" s="1" t="str">
        <f>CLEAN("1166-00-62")</f>
        <v>1166-00-62</v>
      </c>
      <c r="C216" s="1">
        <v>2022</v>
      </c>
      <c r="D216" s="3">
        <v>44600</v>
      </c>
      <c r="E216" s="2" t="str">
        <f t="shared" si="5"/>
        <v>PORTAGE</v>
      </c>
      <c r="F216" s="1" t="str">
        <f>CLEAN("IH -039")</f>
        <v>IH -039</v>
      </c>
      <c r="G216" s="1">
        <v>12.73</v>
      </c>
      <c r="H216" s="1" t="str">
        <f>CLEAN("PLAINFIELD - STEVENS POINT")</f>
        <v>PLAINFIELD - STEVENS POINT</v>
      </c>
      <c r="I216" s="1" t="str">
        <f>CLEAN("B-49-42  43  44  47  50")</f>
        <v>B-49-42  43  44  47  50</v>
      </c>
      <c r="J216" s="1" t="str">
        <f>CLEAN("PREVENTATIVE MAINTENANCE (PAINTING)")</f>
        <v>PREVENTATIVE MAINTENANCE (PAINTING)</v>
      </c>
    </row>
    <row r="217" spans="1:10" x14ac:dyDescent="0.25">
      <c r="A217" s="1" t="str">
        <f>CLEAN("1166-08-13")</f>
        <v>1166-08-13</v>
      </c>
      <c r="B217" s="1" t="str">
        <f>CLEAN("1166-08-83")</f>
        <v>1166-08-83</v>
      </c>
      <c r="C217" s="1">
        <v>2022</v>
      </c>
      <c r="D217" s="3">
        <v>44691</v>
      </c>
      <c r="E217" s="2" t="str">
        <f t="shared" si="5"/>
        <v>PORTAGE</v>
      </c>
      <c r="F217" s="1" t="str">
        <f>CLEAN("IH -039")</f>
        <v>IH -039</v>
      </c>
      <c r="G217" s="1">
        <v>0.19</v>
      </c>
      <c r="H217" s="1" t="str">
        <f>CLEAN("C STEVENS POINT  STANLEY STREET")</f>
        <v>C STEVENS POINT  STANLEY STREET</v>
      </c>
      <c r="I217" s="1" t="str">
        <f>CLEAN("GREEN AVENUE TO IH 39 NB RAMPS")</f>
        <v>GREEN AVENUE TO IH 39 NB RAMPS</v>
      </c>
      <c r="J217" s="1" t="str">
        <f>CLEAN("CONSTR/RECONSTRUTION")</f>
        <v>CONSTR/RECONSTRUTION</v>
      </c>
    </row>
    <row r="218" spans="1:10" x14ac:dyDescent="0.25">
      <c r="A218" s="1" t="str">
        <f>CLEAN("1166-12-02")</f>
        <v>1166-12-02</v>
      </c>
      <c r="B218" s="1" t="str">
        <f>CLEAN("1166-12-72")</f>
        <v>1166-12-72</v>
      </c>
      <c r="C218" s="1">
        <v>2022</v>
      </c>
      <c r="D218" s="3">
        <v>44509</v>
      </c>
      <c r="E218" s="2" t="str">
        <f t="shared" si="5"/>
        <v>PORTAGE</v>
      </c>
      <c r="F218" s="1" t="str">
        <f>CLEAN("IH -039")</f>
        <v>IH -039</v>
      </c>
      <c r="G218" s="1">
        <v>0.87</v>
      </c>
      <c r="H218" s="1" t="str">
        <f>CLEAN("PLAINFIELD - STEVENS POINT")</f>
        <v>PLAINFIELD - STEVENS POINT</v>
      </c>
      <c r="I218" s="1" t="str">
        <f>CLEAN("USH 10 INTERCHANGE")</f>
        <v>USH 10 INTERCHANGE</v>
      </c>
      <c r="J218" s="1" t="str">
        <f>CLEAN("RECONDITION")</f>
        <v>RECONDITION</v>
      </c>
    </row>
    <row r="219" spans="1:10" x14ac:dyDescent="0.25">
      <c r="A219" s="1" t="str">
        <f>CLEAN("1166-12-14")</f>
        <v>1166-12-14</v>
      </c>
      <c r="B219" s="1" t="str">
        <f>CLEAN("1166-12-84")</f>
        <v>1166-12-84</v>
      </c>
      <c r="C219" s="1">
        <v>2022</v>
      </c>
      <c r="D219" s="3">
        <v>44572</v>
      </c>
      <c r="E219" s="2" t="str">
        <f t="shared" si="5"/>
        <v>PORTAGE</v>
      </c>
      <c r="F219" s="1" t="str">
        <f>CLEAN("IH -039")</f>
        <v>IH -039</v>
      </c>
      <c r="G219" s="1">
        <v>1.31</v>
      </c>
      <c r="H219" s="1" t="str">
        <f>CLEAN("PLAINFIELD - STEVENS POINT")</f>
        <v>PLAINFIELD - STEVENS POINT</v>
      </c>
      <c r="I219" s="1" t="str">
        <f>CLEAN("USH 10 TO STH 66")</f>
        <v>USH 10 TO STH 66</v>
      </c>
      <c r="J219" s="1" t="str">
        <f>CLEAN("CONSTR/RECONSTRUCTION")</f>
        <v>CONSTR/RECONSTRUCTION</v>
      </c>
    </row>
    <row r="220" spans="1:10" x14ac:dyDescent="0.25">
      <c r="A220" s="1" t="str">
        <f>CLEAN("6280-02-04")</f>
        <v>6280-02-04</v>
      </c>
      <c r="B220" s="1" t="str">
        <f>CLEAN("6280-02-74")</f>
        <v>6280-02-74</v>
      </c>
      <c r="C220" s="1">
        <v>2022</v>
      </c>
      <c r="D220" s="3">
        <v>44691</v>
      </c>
      <c r="E220" s="2" t="str">
        <f t="shared" si="5"/>
        <v>PORTAGE</v>
      </c>
      <c r="F220" s="1" t="str">
        <f>CLEAN("STH-066")</f>
        <v>STH-066</v>
      </c>
      <c r="G220" s="1">
        <v>0.33</v>
      </c>
      <c r="H220" s="1" t="str">
        <f>CLEAN("STEVENS POINT - ROSHOLT")</f>
        <v>STEVENS POINT - ROSHOLT</v>
      </c>
      <c r="I220" s="1" t="str">
        <f>CLEAN("I39 TO STEVENS POINT AIRPORT")</f>
        <v>I39 TO STEVENS POINT AIRPORT</v>
      </c>
      <c r="J220" s="1" t="str">
        <f>CLEAN("CONST/RECOND")</f>
        <v>CONST/RECOND</v>
      </c>
    </row>
    <row r="221" spans="1:10" x14ac:dyDescent="0.25">
      <c r="A221" s="1" t="str">
        <f>CLEAN("6290-05-05")</f>
        <v>6290-05-05</v>
      </c>
      <c r="B221" s="1" t="str">
        <f>CLEAN("6290-05-76")</f>
        <v>6290-05-76</v>
      </c>
      <c r="C221" s="1">
        <v>2022</v>
      </c>
      <c r="D221" s="3">
        <v>44453</v>
      </c>
      <c r="E221" s="2" t="str">
        <f t="shared" si="5"/>
        <v>PORTAGE</v>
      </c>
      <c r="F221" s="1" t="str">
        <f>CLEAN("USH-010")</f>
        <v>USH-010</v>
      </c>
      <c r="G221" s="1">
        <v>2.6</v>
      </c>
      <c r="H221" s="1" t="str">
        <f>CLEAN("STEVENS POINT - WAUPACA")</f>
        <v>STEVENS POINT - WAUPACA</v>
      </c>
      <c r="I221" s="1" t="str">
        <f>CLEAN("BADGER AVENUE TO CTH J")</f>
        <v>BADGER AVENUE TO CTH J</v>
      </c>
      <c r="J221" s="1" t="str">
        <f>CLEAN("CONST/RECONDITION")</f>
        <v>CONST/RECONDITION</v>
      </c>
    </row>
    <row r="222" spans="1:10" x14ac:dyDescent="0.25">
      <c r="A222" s="1" t="str">
        <f>CLEAN("1580-30-00")</f>
        <v>1580-30-00</v>
      </c>
      <c r="B222" s="1" t="str">
        <f>CLEAN("1580-30-70")</f>
        <v>1580-30-70</v>
      </c>
      <c r="C222" s="1">
        <v>2022</v>
      </c>
      <c r="D222" s="3">
        <v>44509</v>
      </c>
      <c r="E222" s="2" t="str">
        <f>CLEAN("PRICE")</f>
        <v>PRICE</v>
      </c>
      <c r="F222" s="1" t="str">
        <f>CLEAN("USH-008")</f>
        <v>USH-008</v>
      </c>
      <c r="G222" s="1">
        <v>6.5</v>
      </c>
      <c r="H222" s="1" t="str">
        <f>CLEAN("PRENTICE - BRADLEY")</f>
        <v>PRENTICE - BRADLEY</v>
      </c>
      <c r="I222" s="1" t="str">
        <f>CLEAN("LUSTILA ROAD TO CTH YY")</f>
        <v>LUSTILA ROAD TO CTH YY</v>
      </c>
      <c r="J222" s="1" t="str">
        <f>CLEAN("CONST/PAVEMENT REPLACEMENT")</f>
        <v>CONST/PAVEMENT REPLACEMENT</v>
      </c>
    </row>
    <row r="223" spans="1:10" x14ac:dyDescent="0.25">
      <c r="A223" s="1" t="str">
        <f>CLEAN("9216-06-30")</f>
        <v>9216-06-30</v>
      </c>
      <c r="B223" s="1" t="str">
        <f>CLEAN("9216-06-60")</f>
        <v>9216-06-60</v>
      </c>
      <c r="C223" s="1">
        <v>2022</v>
      </c>
      <c r="D223" s="3">
        <v>44663</v>
      </c>
      <c r="E223" s="2" t="str">
        <f>CLEAN("PRICE")</f>
        <v>PRICE</v>
      </c>
      <c r="F223" s="1" t="str">
        <f>CLEAN("STH-086")</f>
        <v>STH-086</v>
      </c>
      <c r="G223" s="1">
        <v>13.5</v>
      </c>
      <c r="H223" s="1" t="str">
        <f>CLEAN("OGEMA - TOMAHAWK")</f>
        <v>OGEMA - TOMAHAWK</v>
      </c>
      <c r="I223" s="1" t="str">
        <f>CLEAN("STH 13 TO LINCOLN COUNTY LINE")</f>
        <v>STH 13 TO LINCOLN COUNTY LINE</v>
      </c>
      <c r="J223" s="1" t="str">
        <f>CLEAN("CONST/PREV MAINT APPROVAL 6/1/11")</f>
        <v>CONST/PREV MAINT APPROVAL 6/1/11</v>
      </c>
    </row>
    <row r="224" spans="1:10" x14ac:dyDescent="0.25">
      <c r="A224" s="1" t="str">
        <f>CLEAN("1058-16-30")</f>
        <v>1058-16-30</v>
      </c>
      <c r="B224" s="1" t="str">
        <f>CLEAN("1058-16-60")</f>
        <v>1058-16-60</v>
      </c>
      <c r="C224" s="1">
        <v>2022</v>
      </c>
      <c r="D224" s="3">
        <v>44544</v>
      </c>
      <c r="E224" s="2" t="str">
        <f>CLEAN("SHAWANO")</f>
        <v>SHAWANO</v>
      </c>
      <c r="F224" s="1" t="str">
        <f>CLEAN("STH-029")</f>
        <v>STH-029</v>
      </c>
      <c r="G224" s="1">
        <v>0</v>
      </c>
      <c r="H224" s="1" t="str">
        <f>CLEAN("WITTENBERG - SHAWANO")</f>
        <v>WITTENBERG - SHAWANO</v>
      </c>
      <c r="I224" s="1" t="str">
        <f>CLEAN("STH 29 INTERCHANGES")</f>
        <v>STH 29 INTERCHANGES</v>
      </c>
      <c r="J224" s="1" t="str">
        <f>CLEAN("CONST/PREV MAINT APPROVAL 6/1/11")</f>
        <v>CONST/PREV MAINT APPROVAL 6/1/11</v>
      </c>
    </row>
    <row r="225" spans="1:10" x14ac:dyDescent="0.25">
      <c r="A225" s="1" t="str">
        <f>CLEAN("1058-24-30")</f>
        <v>1058-24-30</v>
      </c>
      <c r="B225" s="1" t="str">
        <f>CLEAN("1058-24-60")</f>
        <v>1058-24-60</v>
      </c>
      <c r="C225" s="1">
        <v>2022</v>
      </c>
      <c r="D225" s="3">
        <v>44572</v>
      </c>
      <c r="E225" s="2" t="str">
        <f>CLEAN("SHAWANO")</f>
        <v>SHAWANO</v>
      </c>
      <c r="F225" s="1" t="str">
        <f>CLEAN("STH-029")</f>
        <v>STH-029</v>
      </c>
      <c r="G225" s="1">
        <v>9.5</v>
      </c>
      <c r="H225" s="1" t="str">
        <f>CLEAN("SHAWANO - GREEN BAY")</f>
        <v>SHAWANO - GREEN BAY</v>
      </c>
      <c r="I225" s="1" t="str">
        <f>CLEAN("CTH F TO BROWN COUNTY LINE")</f>
        <v>CTH F TO BROWN COUNTY LINE</v>
      </c>
      <c r="J225" s="1" t="str">
        <f>CLEAN("CONST/PREVENTIVE MAINTENANCE")</f>
        <v>CONST/PREVENTIVE MAINTENANCE</v>
      </c>
    </row>
    <row r="226" spans="1:10" x14ac:dyDescent="0.25">
      <c r="A226" s="1" t="str">
        <f>CLEAN("1058-24-32")</f>
        <v>1058-24-32</v>
      </c>
      <c r="B226" s="1" t="str">
        <f>CLEAN("1058-24-62")</f>
        <v>1058-24-62</v>
      </c>
      <c r="C226" s="1">
        <v>2022</v>
      </c>
      <c r="D226" s="3">
        <v>44544</v>
      </c>
      <c r="E226" s="2" t="str">
        <f>CLEAN("SHAWANO")</f>
        <v>SHAWANO</v>
      </c>
      <c r="F226" s="1" t="str">
        <f>CLEAN("STH-029")</f>
        <v>STH-029</v>
      </c>
      <c r="G226" s="1">
        <v>0.16</v>
      </c>
      <c r="H226" s="1" t="str">
        <f>CLEAN("WAUSAU - GREEN BAY")</f>
        <v>WAUSAU - GREEN BAY</v>
      </c>
      <c r="I226" s="1" t="str">
        <f>CLEAN("B-58-39 70 71 74 75 84 85 93 101")</f>
        <v>B-58-39 70 71 74 75 84 85 93 101</v>
      </c>
      <c r="J226" s="1" t="str">
        <f>CLEAN("CONST/EPOXY OVERLAY/BRSHRM")</f>
        <v>CONST/EPOXY OVERLAY/BRSHRM</v>
      </c>
    </row>
    <row r="227" spans="1:10" x14ac:dyDescent="0.25">
      <c r="A227" s="1" t="str">
        <f>CLEAN("1170-22-30")</f>
        <v>1170-22-30</v>
      </c>
      <c r="B227" s="1" t="str">
        <f>CLEAN("1170-22-70")</f>
        <v>1170-22-70</v>
      </c>
      <c r="C227" s="1">
        <v>2022</v>
      </c>
      <c r="D227" s="3">
        <v>44544</v>
      </c>
      <c r="E227" s="2" t="str">
        <f>CLEAN("VILAS")</f>
        <v>VILAS</v>
      </c>
      <c r="F227" s="1" t="str">
        <f>CLEAN("USH-051")</f>
        <v>USH-051</v>
      </c>
      <c r="G227" s="1">
        <v>0.04</v>
      </c>
      <c r="H227" s="1" t="str">
        <f>CLEAN("MINOCQUA - MANITOWISH")</f>
        <v>MINOCQUA - MANITOWISH</v>
      </c>
      <c r="I227" s="1" t="str">
        <f>CLEAN("MANITOWISH RIVER BRIDGE  B-63-0003")</f>
        <v>MANITOWISH RIVER BRIDGE  B-63-0003</v>
      </c>
      <c r="J227" s="1" t="str">
        <f>CLEAN("CONST/BRIDGE REPLACEMENT")</f>
        <v>CONST/BRIDGE REPLACEMENT</v>
      </c>
    </row>
    <row r="228" spans="1:10" x14ac:dyDescent="0.25">
      <c r="A228" s="1" t="str">
        <f>CLEAN("9205-03-30")</f>
        <v>9205-03-30</v>
      </c>
      <c r="B228" s="1" t="str">
        <f>CLEAN("9205-03-60")</f>
        <v>9205-03-60</v>
      </c>
      <c r="C228" s="1">
        <v>2022</v>
      </c>
      <c r="D228" s="3">
        <v>44628</v>
      </c>
      <c r="E228" s="2" t="str">
        <f>CLEAN("VILAS")</f>
        <v>VILAS</v>
      </c>
      <c r="F228" s="1" t="str">
        <f>CLEAN("STH-155")</f>
        <v>STH-155</v>
      </c>
      <c r="G228" s="1">
        <v>6.94</v>
      </c>
      <c r="H228" s="1" t="str">
        <f>CLEAN("SAINT GERMAIN - SAYNER")</f>
        <v>SAINT GERMAIN - SAYNER</v>
      </c>
      <c r="I228" s="1" t="str">
        <f>CLEAN("STH 70 TO LAKE STREET")</f>
        <v>STH 70 TO LAKE STREET</v>
      </c>
      <c r="J228" s="1" t="str">
        <f>CLEAN("CONST/PREV MAINT APPROVAL 6/1/11")</f>
        <v>CONST/PREV MAINT APPROVAL 6/1/11</v>
      </c>
    </row>
    <row r="229" spans="1:10" x14ac:dyDescent="0.25">
      <c r="A229" s="1" t="str">
        <f>CLEAN("6590-01-02")</f>
        <v>6590-01-02</v>
      </c>
      <c r="B229" s="1" t="str">
        <f>CLEAN("6590-01-73")</f>
        <v>6590-01-73</v>
      </c>
      <c r="C229" s="1">
        <v>2022</v>
      </c>
      <c r="D229" s="3">
        <v>44628</v>
      </c>
      <c r="E229" s="2" t="str">
        <f>CLEAN("WAUPACA")</f>
        <v>WAUPACA</v>
      </c>
      <c r="F229" s="1" t="str">
        <f>CLEAN("STH-110")</f>
        <v>STH-110</v>
      </c>
      <c r="G229" s="1">
        <v>4.09</v>
      </c>
      <c r="H229" s="1" t="str">
        <f>CLEAN("FREMONT - MARION")</f>
        <v>FREMONT - MARION</v>
      </c>
      <c r="I229" s="1" t="str">
        <f>CLEAN("CN RR TO S JCT STH 22")</f>
        <v>CN RR TO S JCT STH 22</v>
      </c>
      <c r="J229" s="1" t="str">
        <f>CLEAN("CONSTR/RESURFACE")</f>
        <v>CONSTR/RESURFACE</v>
      </c>
    </row>
    <row r="230" spans="1:10" x14ac:dyDescent="0.25">
      <c r="A230" s="1" t="str">
        <f>CLEAN("6590-02-02")</f>
        <v>6590-02-02</v>
      </c>
      <c r="B230" s="1" t="str">
        <f>CLEAN("6590-02-73")</f>
        <v>6590-02-73</v>
      </c>
      <c r="C230" s="1">
        <v>2022</v>
      </c>
      <c r="D230" s="3">
        <v>44628</v>
      </c>
      <c r="E230" s="2" t="str">
        <f>CLEAN("WAUPACA")</f>
        <v>WAUPACA</v>
      </c>
      <c r="F230" s="1" t="str">
        <f>CLEAN("STH-110")</f>
        <v>STH-110</v>
      </c>
      <c r="G230" s="1">
        <v>4.38</v>
      </c>
      <c r="H230" s="1" t="str">
        <f>CLEAN("FREMONT - MARION")</f>
        <v>FREMONT - MARION</v>
      </c>
      <c r="I230" s="1" t="str">
        <f>CLEAN("CTH C TO CTH S")</f>
        <v>CTH C TO CTH S</v>
      </c>
      <c r="J230" s="1" t="str">
        <f>CLEAN("CONSTR/RESURFACE")</f>
        <v>CONSTR/RESURFACE</v>
      </c>
    </row>
    <row r="231" spans="1:10" x14ac:dyDescent="0.25">
      <c r="A231" s="1" t="str">
        <f>CLEAN("6843-00-02")</f>
        <v>6843-00-02</v>
      </c>
      <c r="B231" s="1" t="str">
        <f>CLEAN("6843-00-72")</f>
        <v>6843-00-72</v>
      </c>
      <c r="C231" s="1">
        <v>2022</v>
      </c>
      <c r="D231" s="3">
        <v>44691</v>
      </c>
      <c r="E231" s="2" t="str">
        <f>CLEAN("WAUPACA")</f>
        <v>WAUPACA</v>
      </c>
      <c r="F231" s="1" t="str">
        <f>CLEAN("CTH-A")</f>
        <v>CTH-A</v>
      </c>
      <c r="G231" s="1">
        <v>0.122</v>
      </c>
      <c r="H231" s="1" t="str">
        <f>CLEAN("WAUSHARA CO LINE - WAUPACA")</f>
        <v>WAUSHARA CO LINE - WAUPACA</v>
      </c>
      <c r="I231" s="1" t="str">
        <f>CLEAN("WAUPACA COUNTY SALT SHED")</f>
        <v>WAUPACA COUNTY SALT SHED</v>
      </c>
      <c r="J231" s="1" t="str">
        <f>CLEAN("CONSTR/MISC")</f>
        <v>CONSTR/MISC</v>
      </c>
    </row>
    <row r="232" spans="1:10" x14ac:dyDescent="0.25">
      <c r="A232" s="1" t="str">
        <f>CLEAN("1160-00-08")</f>
        <v>1160-00-08</v>
      </c>
      <c r="B232" s="1" t="str">
        <f>CLEAN("1160-00-78")</f>
        <v>1160-00-78</v>
      </c>
      <c r="C232" s="1">
        <v>2022</v>
      </c>
      <c r="D232" s="3">
        <v>44544</v>
      </c>
      <c r="E232" s="2" t="str">
        <f>CLEAN("WAUSHARA")</f>
        <v>WAUSHARA</v>
      </c>
      <c r="F232" s="1" t="str">
        <f>CLEAN("IH -039")</f>
        <v>IH -039</v>
      </c>
      <c r="G232" s="1">
        <v>0.8</v>
      </c>
      <c r="H232" s="1" t="str">
        <f>CLEAN("PACKWAUKEE - PLAINFIELD")</f>
        <v>PACKWAUKEE - PLAINFIELD</v>
      </c>
      <c r="I232" s="1" t="str">
        <f>CLEAN("CTHE/J &amp; STH 73 INTERCHANGES")</f>
        <v>CTHE/J &amp; STH 73 INTERCHANGES</v>
      </c>
      <c r="J232" s="1" t="str">
        <f>CLEAN("CONSTR/PAVEMENT REPLACEMENT")</f>
        <v>CONSTR/PAVEMENT REPLACEMENT</v>
      </c>
    </row>
    <row r="233" spans="1:10" x14ac:dyDescent="0.25">
      <c r="A233" s="1" t="str">
        <f>CLEAN("1166-05-07")</f>
        <v>1166-05-07</v>
      </c>
      <c r="B233" s="1" t="str">
        <f>CLEAN("1166-05-77")</f>
        <v>1166-05-77</v>
      </c>
      <c r="C233" s="1">
        <v>2022</v>
      </c>
      <c r="D233" s="3">
        <v>44453</v>
      </c>
      <c r="E233" s="2" t="str">
        <f>CLEAN("WAUSHARA")</f>
        <v>WAUSHARA</v>
      </c>
      <c r="F233" s="1" t="str">
        <f>CLEAN("IH -039")</f>
        <v>IH -039</v>
      </c>
      <c r="G233" s="1">
        <v>14.51</v>
      </c>
      <c r="H233" s="1" t="str">
        <f>CLEAN("PACKWAUKEE - COLOMA")</f>
        <v>PACKWAUKEE - COLOMA</v>
      </c>
      <c r="I233" s="1" t="str">
        <f>CLEAN("CTH Z TO CTH O")</f>
        <v>CTH Z TO CTH O</v>
      </c>
      <c r="J233" s="1" t="str">
        <f>CLEAN("RESURFACE")</f>
        <v>RESURFACE</v>
      </c>
    </row>
    <row r="234" spans="1:10" x14ac:dyDescent="0.25">
      <c r="A234" s="1" t="str">
        <f>CLEAN("1166-07-09")</f>
        <v>1166-07-09</v>
      </c>
      <c r="B234" s="1" t="str">
        <f>CLEAN("1166-07-79")</f>
        <v>1166-07-79</v>
      </c>
      <c r="C234" s="1">
        <v>2022</v>
      </c>
      <c r="D234" s="3">
        <v>44418</v>
      </c>
      <c r="E234" s="2" t="str">
        <f>CLEAN("WAUSHARA")</f>
        <v>WAUSHARA</v>
      </c>
      <c r="F234" s="1" t="str">
        <f>CLEAN("IH -039")</f>
        <v>IH -039</v>
      </c>
      <c r="G234" s="1">
        <v>7.66</v>
      </c>
      <c r="H234" s="1" t="str">
        <f>CLEAN("PACKWAUKEE - COLOMA")</f>
        <v>PACKWAUKEE - COLOMA</v>
      </c>
      <c r="I234" s="1" t="str">
        <f>CLEAN("STH 21 TO CTH O")</f>
        <v>STH 21 TO CTH O</v>
      </c>
      <c r="J234" s="1" t="str">
        <f>CLEAN("RESURFACE")</f>
        <v>RESURFACE</v>
      </c>
    </row>
    <row r="235" spans="1:10" x14ac:dyDescent="0.25">
      <c r="A235" s="1" t="str">
        <f>CLEAN("6620-00-00")</f>
        <v>6620-00-00</v>
      </c>
      <c r="B235" s="1" t="str">
        <f>CLEAN("6620-00-70")</f>
        <v>6620-00-70</v>
      </c>
      <c r="C235" s="1">
        <v>2022</v>
      </c>
      <c r="D235" s="3">
        <v>44544</v>
      </c>
      <c r="E235" s="2" t="str">
        <f>CLEAN("WOOD")</f>
        <v>WOOD</v>
      </c>
      <c r="F235" s="1" t="str">
        <f>CLEAN("STH-186")</f>
        <v>STH-186</v>
      </c>
      <c r="G235" s="1">
        <v>0.63300000000000001</v>
      </c>
      <c r="H235" s="1" t="str">
        <f>CLEAN("V VESPER  WIS ST AND CAMERON AVE")</f>
        <v>V VESPER  WIS ST AND CAMERON AVE</v>
      </c>
      <c r="I235" s="1" t="str">
        <f>CLEAN("3RD STREET TO ANDERTON AVENUE")</f>
        <v>3RD STREET TO ANDERTON AVENUE</v>
      </c>
      <c r="J235" s="1" t="str">
        <f>CLEAN("CONSTR/RECONSTRUCT")</f>
        <v>CONSTR/RECONSTRUCT</v>
      </c>
    </row>
  </sheetData>
  <sortState ref="A2:P262">
    <sortCondition ref="C2:C262"/>
  </sortState>
  <pageMargins left="0.7" right="0.7" top="0.75" bottom="0.75" header="0.3" footer="0.3"/>
  <pageSetup paperSize="1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4288C657724180ED1312F00F45E4" ma:contentTypeVersion="1" ma:contentTypeDescription="Create a new document." ma:contentTypeScope="" ma:versionID="497c95b2368c8af117c8dcf77339d23a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DBEF89-957C-4C44-B403-215F98A9D255}"/>
</file>

<file path=customXml/itemProps2.xml><?xml version="1.0" encoding="utf-8"?>
<ds:datastoreItem xmlns:ds="http://schemas.openxmlformats.org/officeDocument/2006/customXml" ds:itemID="{12C6E8FC-EB45-40BE-9708-EF09A9438A02}"/>
</file>

<file path=customXml/itemProps3.xml><?xml version="1.0" encoding="utf-8"?>
<ds:datastoreItem xmlns:ds="http://schemas.openxmlformats.org/officeDocument/2006/customXml" ds:itemID="{A8A26D20-B2D1-47EA-BFE2-2C9C1BB90D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 Region State Projects 2016</dc:title>
  <dc:subject>NC Region State Projects 2016</dc:subject>
  <dc:creator>WisDOT</dc:creator>
  <cp:lastModifiedBy>DOTJAS</cp:lastModifiedBy>
  <cp:lastPrinted>2016-02-18T18:58:54Z</cp:lastPrinted>
  <dcterms:created xsi:type="dcterms:W3CDTF">2016-02-18T19:17:41Z</dcterms:created>
  <dcterms:modified xsi:type="dcterms:W3CDTF">2016-02-25T16:25:58Z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0x01010084F54288C657724180ED1312F00F45E4</vt:lpwstr>
  </property>
</Properties>
</file>